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Residuos Especiales" sheetId="5" r:id="rId5"/>
    <sheet name="ANEXO ÚNICO" sheetId="6" r:id="rId6"/>
    <sheet name="TASA DE VISADO" sheetId="7" r:id="rId7"/>
  </sheets>
  <externalReferences>
    <externalReference r:id="rId10"/>
    <externalReference r:id="rId11"/>
  </externalReferences>
  <definedNames>
    <definedName name="_xlnm.Print_Area" localSheetId="4">'Residuos Especiales'!$B$1:$H$80</definedName>
    <definedName name="EISat1">'[1]ELOY (2)'!#REF!</definedName>
    <definedName name="Excel_BuiltIn__FilterDatabase" localSheetId="1">'$xha'!$A$3:$E$1145</definedName>
    <definedName name="Excel_BuiltIn_Print_Area" localSheetId="4">'Residuos Especiales'!$B$1:$H$80</definedName>
    <definedName name="Excel_BuiltIn_Print_Titles" localSheetId="4">'Residuos Especiales'!$1:$14</definedName>
    <definedName name="material">'[1]ELOY'!$A$8:$G$75</definedName>
    <definedName name="reptec">#REF!</definedName>
    <definedName name="residuos">'Residuos Especiales'!#REF!</definedName>
    <definedName name="_xlnm.Print_Titles" localSheetId="4">'Residuos Especiales'!$1:$14</definedName>
    <definedName name="valorfiscal" localSheetId="4">'Residuos Especiales'!#REF!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<sst xmlns="http://schemas.openxmlformats.org/spreadsheetml/2006/main" count="1505" uniqueCount="383">
  <si>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</si>
  <si>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</si>
  <si>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</si>
  <si>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</si>
  <si>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</si>
  <si>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</si>
  <si>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</si>
  <si>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</si>
  <si>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</si>
  <si>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</si>
  <si>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</si>
  <si>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</si>
  <si>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</si>
  <si>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</si>
  <si>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</si>
  <si>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</si>
  <si>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</si>
  <si>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</si>
  <si>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</si>
  <si>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</si>
  <si>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</si>
  <si>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</si>
  <si>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</si>
  <si>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</si>
  <si>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</si>
  <si>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</si>
  <si>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</si>
  <si>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</si>
  <si>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</si>
  <si>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</si>
  <si>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</si>
  <si>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</si>
  <si>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</si>
  <si>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</si>
  <si>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</si>
  <si>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</si>
  <si>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</si>
  <si>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</si>
  <si>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</si>
  <si>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</si>
  <si>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</si>
  <si>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</si>
  <si>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</si>
  <si>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</si>
  <si>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</si>
  <si>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</si>
  <si>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</si>
  <si>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</si>
  <si>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</si>
  <si>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</si>
  <si>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</si>
  <si>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</si>
  <si>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</si>
  <si>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</si>
  <si>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</si>
  <si>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</si>
  <si>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</si>
  <si>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</si>
  <si>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</si>
  <si>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</si>
  <si>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</si>
  <si>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</si>
  <si>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</si>
  <si>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</si>
  <si>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</si>
  <si>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</si>
  <si>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</si>
  <si>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</si>
  <si>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</si>
  <si>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</si>
  <si>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</si>
  <si>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</si>
  <si>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</si>
  <si>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</si>
  <si>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</si>
  <si>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</si>
  <si>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</si>
  <si>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</si>
  <si>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</si>
  <si>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</si>
  <si>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</si>
  <si>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</si>
  <si>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</si>
  <si>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</si>
  <si>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</si>
  <si>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</si>
  <si>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</si>
  <si>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</si>
  <si>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</si>
  <si>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</si>
  <si>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</si>
  <si>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</si>
  <si>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</si>
  <si>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</si>
  <si>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</si>
  <si>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</si>
  <si>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</si>
  <si>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</si>
  <si>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</si>
  <si>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</si>
  <si>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</si>
  <si>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</si>
  <si>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</si>
  <si>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</si>
  <si>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</si>
  <si>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</si>
  <si>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</si>
  <si>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</si>
  <si>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</si>
  <si>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</si>
  <si>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</si>
  <si>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</si>
  <si>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</si>
  <si>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</si>
  <si>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</si>
  <si>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</si>
  <si>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</si>
  <si>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</si>
  <si>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</si>
  <si>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</si>
  <si>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</si>
  <si>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</si>
  <si>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</si>
  <si>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</si>
  <si>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</si>
  <si>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</si>
  <si>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</si>
  <si>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</si>
  <si>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</si>
  <si>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</si>
  <si>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</si>
  <si>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</si>
  <si>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</si>
  <si>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</si>
  <si>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</si>
  <si>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</si>
  <si>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</si>
  <si>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</si>
  <si>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</si>
  <si>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</si>
  <si>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</si>
  <si>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</si>
  <si>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</si>
  <si>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</si>
  <si>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</si>
  <si>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</si>
  <si>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</si>
  <si>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</si>
  <si>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</si>
  <si>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</si>
  <si>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</si>
  <si>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</si>
  <si>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</si>
  <si>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</si>
  <si>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</si>
  <si>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</si>
  <si>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</si>
  <si>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</si>
  <si>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</si>
  <si>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</si>
  <si>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</si>
  <si>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</si>
  <si>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</si>
  <si>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</si>
  <si>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</si>
  <si>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</si>
  <si>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</si>
  <si>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</si>
  <si>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</si>
  <si>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</si>
  <si>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</si>
  <si>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</si>
  <si>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</si>
  <si>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</si>
  <si>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</si>
  <si>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</si>
  <si>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</si>
  <si>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</si>
  <si>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</si>
  <si>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</si>
  <si>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</si>
  <si>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</si>
  <si>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</si>
  <si>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</si>
  <si>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</si>
  <si>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</si>
  <si>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</si>
  <si>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</si>
  <si>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</si>
  <si>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</si>
  <si>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</si>
  <si>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</si>
  <si>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</si>
  <si>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</si>
  <si>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</si>
  <si>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</si>
  <si>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</si>
  <si>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</si>
  <si>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</si>
  <si>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</si>
  <si>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</si>
  <si>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</si>
  <si>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</si>
  <si>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</si>
  <si>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</si>
  <si>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</si>
  <si>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</si>
  <si>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</si>
  <si>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</si>
  <si>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</si>
  <si>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</si>
  <si>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</si>
  <si>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</si>
  <si>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</si>
  <si>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</si>
  <si>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</si>
  <si>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</si>
  <si>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</si>
  <si>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</si>
  <si>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</si>
  <si>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</si>
  <si>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</si>
  <si>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</si>
  <si>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</si>
  <si>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</si>
  <si>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</si>
  <si>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</si>
  <si>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</si>
  <si>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</si>
  <si>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</si>
  <si>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</si>
  <si>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</si>
  <si>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</si>
  <si>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</si>
  <si>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</si>
  <si>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</si>
  <si>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</si>
  <si>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</si>
  <si>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</si>
  <si>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</si>
  <si>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</si>
  <si>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</si>
  <si>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</si>
  <si>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</si>
  <si>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</si>
  <si>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</si>
  <si>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</si>
  <si>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</si>
  <si>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</si>
  <si>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</si>
  <si>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</si>
  <si>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</si>
  <si>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</si>
  <si>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</si>
  <si>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</si>
  <si>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</si>
  <si>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</si>
  <si>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</si>
  <si>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</si>
  <si>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</si>
  <si>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</si>
  <si>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</si>
  <si>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</si>
  <si>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</si>
  <si>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</si>
  <si>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</si>
  <si>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</si>
  <si>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</si>
  <si>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</si>
  <si>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</si>
  <si>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</si>
  <si>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</si>
  <si>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</si>
  <si>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</si>
  <si>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</si>
  <si>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</si>
  <si>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</si>
  <si>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</si>
  <si>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</si>
  <si>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</si>
  <si>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</si>
  <si>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</si>
  <si>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</si>
  <si>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</si>
  <si>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</si>
  <si>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</si>
  <si>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</si>
  <si>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</si>
  <si>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</si>
  <si>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</si>
  <si>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</si>
  <si>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</si>
  <si>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</si>
  <si>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</si>
  <si>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</si>
  <si>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</si>
  <si>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</si>
  <si>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</si>
  <si>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</si>
  <si>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</si>
  <si>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</si>
  <si>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</si>
  <si>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</si>
  <si>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</si>
  <si>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.</t>
  </si>
  <si>
    <t>Profesional:</t>
  </si>
  <si>
    <t>Comitente:</t>
  </si>
  <si>
    <t>Res. N° 1.351/21</t>
  </si>
  <si>
    <t>REPRESENTANTE TÉCNICO de la Empresa Generación de Residuos Especiales Industriales</t>
  </si>
  <si>
    <t xml:space="preserve">“Certificado de Presentación de Declaración Jurada - Tasa anual” </t>
  </si>
  <si>
    <t>Art. 17, 18 y 19 de la Ley 11720 y los Decretos reglamentarios 806/97 y 650/11</t>
  </si>
  <si>
    <t>Calculo del VALOR en JUEGO</t>
  </si>
  <si>
    <t>V.J = (To x NCA) + ((Ln SCGFP)^5 x UR)</t>
  </si>
  <si>
    <t>Datos:</t>
  </si>
  <si>
    <t>To</t>
  </si>
  <si>
    <t>NCA</t>
  </si>
  <si>
    <t>UR</t>
  </si>
  <si>
    <t>Término SCGFP</t>
  </si>
  <si>
    <t>CGi (KG) Cantidad de Residuos Generados</t>
  </si>
  <si>
    <t>FPi Factor de Peligrosidad</t>
  </si>
  <si>
    <t>SUMATORIA</t>
  </si>
  <si>
    <t>VALOR EN JUEGO</t>
  </si>
  <si>
    <t>Calculo del Honorario Minimo</t>
  </si>
  <si>
    <t>Coef. de actualización</t>
  </si>
  <si>
    <t>Visado Nº</t>
  </si>
  <si>
    <t>Siguientes</t>
  </si>
  <si>
    <t>Honorario Mínimo Anual REPRESENTACION TECNICA (Título V – Art. 1°)</t>
  </si>
  <si>
    <t>Honorario Mensual REPRESENTACIÓN TÉCNICA</t>
  </si>
  <si>
    <t>No debe ser inferior al HPM</t>
  </si>
  <si>
    <t>Honorario Mínimo Anual (HPM X 12 meses)</t>
  </si>
  <si>
    <t>Honorario Profesional Total</t>
  </si>
  <si>
    <t>No debe ser inferior a HPM x 12 meses</t>
  </si>
  <si>
    <t>Honorario Profesional Adoptado</t>
  </si>
  <si>
    <t>DATO OBLIGATORIO A COMPLETAR POR EL PROFESIONAL</t>
  </si>
  <si>
    <t>EL HONORARIO PROFESIONAL ADOPTADO NO SEBE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</si>
  <si>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</si>
  <si>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</si>
  <si>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</si>
  <si>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</si>
  <si>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</si>
  <si>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</si>
  <si>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</si>
  <si>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</si>
  <si>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 xml:space="preserve">DETERMINACIÓN DEL VALOR EN JUEGO PARA LA TAREA DE REPRESENTACIÓN TÉCNICA -INSCRIPCIÓN </t>
  </si>
  <si>
    <t xml:space="preserve">Y/O RENOVACIÓN DEL CERTIFICADO DE HABILITACIÓN ESPECIAL </t>
  </si>
  <si>
    <t>Ley 11.720 – Decretos reglamentarios 806/97 y 650/11</t>
  </si>
  <si>
    <t>V.J. = Valor de la Alícuota fija + la Valoración monetaria estipulada por la generación</t>
  </si>
  <si>
    <t>de residuos especiales generados</t>
  </si>
  <si>
    <t>Donde:</t>
  </si>
  <si>
    <t xml:space="preserve">La equis (x) representa el símbolo matemático de multiplicación; el más (+) representa el </t>
  </si>
  <si>
    <t xml:space="preserve">símbolo matemático de suma; Ln representa el logaritmo neperiano; y el superíndice 5 </t>
  </si>
  <si>
    <t>representa la quinta potencia del término correspondiente.</t>
  </si>
  <si>
    <t>Alícuota Fija:</t>
  </si>
  <si>
    <r>
      <rPr>
        <u val="single"/>
        <sz val="10"/>
        <rFont val="Arial"/>
        <family val="2"/>
      </rPr>
      <t>Término To</t>
    </r>
    <r>
      <rPr>
        <sz val="10"/>
        <rFont val="Arial"/>
        <family val="0"/>
      </rPr>
      <t xml:space="preserve">. Función del NCA (Ver Tabla Anexo Único) </t>
    </r>
  </si>
  <si>
    <r>
      <rPr>
        <u val="single"/>
        <sz val="10"/>
        <rFont val="Arial"/>
        <family val="2"/>
      </rPr>
      <t>Término NCA</t>
    </r>
    <r>
      <rPr>
        <sz val="10"/>
        <rFont val="Arial"/>
        <family val="0"/>
      </rPr>
      <t xml:space="preserve">: Nivel de Complejidad Ambiental del emprendimiento definido, de </t>
    </r>
  </si>
  <si>
    <t>acuerdo a las prescripciones de la Ley N° 11.459 y su Decreto Reglamentario.</t>
  </si>
  <si>
    <t>Alícuota variable (ver Decreto Reglamentario N° 650/11):</t>
  </si>
  <si>
    <r>
      <rPr>
        <u val="single"/>
        <sz val="10"/>
        <rFont val="Arial"/>
        <family val="2"/>
      </rPr>
      <t>Término SCGFP</t>
    </r>
    <r>
      <rPr>
        <sz val="10"/>
        <rFont val="Arial"/>
        <family val="0"/>
      </rPr>
      <t xml:space="preserve">. Es la sumatoria de la cantidad de residuos generados de cada tipo, </t>
    </r>
  </si>
  <si>
    <t xml:space="preserve">expresada en kilogramos (CGi), multiplicado por el factor de peligrosidad (FPi) de cada </t>
  </si>
  <si>
    <t>agrupación (CGi x FPi).</t>
  </si>
  <si>
    <r>
      <rPr>
        <u val="single"/>
        <sz val="10"/>
        <rFont val="Arial"/>
        <family val="2"/>
      </rPr>
      <t>Término CGi</t>
    </r>
    <r>
      <rPr>
        <sz val="10"/>
        <rFont val="Arial"/>
        <family val="0"/>
      </rPr>
      <t xml:space="preserve">. Es la cantidad total de residuos especiales generados en los procesos </t>
    </r>
  </si>
  <si>
    <t xml:space="preserve">productivos y de servicios, por año calendario, expresada en kilogramos. </t>
  </si>
  <si>
    <t xml:space="preserve">Término FP. </t>
  </si>
  <si>
    <t>Es el grado de peligrosidad de los residuos especiales, discriminados según</t>
  </si>
  <si>
    <t xml:space="preserve">las categorías establecidas a continuación. FP categoría A = 3; FP categoría B = 2; </t>
  </si>
  <si>
    <t>FP categoría C = 0,60.</t>
  </si>
  <si>
    <r>
      <rPr>
        <u val="single"/>
        <sz val="10"/>
        <rFont val="Arial"/>
        <family val="2"/>
      </rPr>
      <t>Término UR</t>
    </r>
    <r>
      <rPr>
        <sz val="10"/>
        <rFont val="Arial"/>
        <family val="0"/>
      </rPr>
      <t xml:space="preserve"> (Unidad Residuo), Función del NCA (Ver Tabla Anexo Único).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</si>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</sst>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&quot;$ &quot;#,##0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i/>
      <sz val="19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2"/>
      <name val="Times New Roman"/>
      <family val="1"/>
    </font>
    <font>
      <b/>
      <sz val="14"/>
      <color indexed="10"/>
      <name val="Arial"/>
      <family val="2"/>
    </font>
    <font>
      <u val="single"/>
      <sz val="14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b/>
      <sz val="18"/>
      <name val="Times New Roman"/>
      <family val="1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0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6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8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0" fontId="34" fillId="0" borderId="0" xfId="0" applyFont="1" applyFill="1" applyAlignment="1" applyProtection="1">
      <alignment horizontal="right"/>
      <protection hidden="1"/>
    </xf>
    <xf numFmtId="49" fontId="35" fillId="0" borderId="0" xfId="0" applyNumberFormat="1" applyFont="1" applyFill="1" applyBorder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right"/>
      <protection hidden="1"/>
    </xf>
    <xf numFmtId="166" fontId="30" fillId="0" borderId="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5" fillId="0" borderId="11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34" fillId="25" borderId="11" xfId="0" applyFont="1" applyFill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4" fontId="34" fillId="25" borderId="11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hidden="1"/>
    </xf>
    <xf numFmtId="4" fontId="35" fillId="0" borderId="11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/>
      <protection hidden="1"/>
    </xf>
    <xf numFmtId="2" fontId="19" fillId="0" borderId="11" xfId="0" applyNumberFormat="1" applyFont="1" applyFill="1" applyBorder="1" applyAlignment="1" applyProtection="1">
      <alignment horizontal="center"/>
      <protection hidden="1"/>
    </xf>
    <xf numFmtId="186" fontId="30" fillId="0" borderId="11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0" fontId="19" fillId="0" borderId="18" xfId="0" applyFont="1" applyFill="1" applyBorder="1" applyAlignment="1" applyProtection="1">
      <alignment horizontal="center"/>
      <protection hidden="1"/>
    </xf>
    <xf numFmtId="0" fontId="19" fillId="0" borderId="19" xfId="0" applyFont="1" applyFill="1" applyBorder="1" applyAlignment="1" applyProtection="1">
      <alignment horizontal="center"/>
      <protection hidden="1"/>
    </xf>
    <xf numFmtId="3" fontId="21" fillId="0" borderId="12" xfId="48" applyNumberFormat="1" applyFont="1" applyFill="1" applyBorder="1" applyAlignment="1" applyProtection="1">
      <alignment horizontal="center"/>
      <protection hidden="1"/>
    </xf>
    <xf numFmtId="3" fontId="21" fillId="0" borderId="13" xfId="48" applyNumberFormat="1" applyFont="1" applyFill="1" applyBorder="1" applyAlignment="1" applyProtection="1">
      <alignment horizontal="center"/>
      <protection hidden="1"/>
    </xf>
    <xf numFmtId="169" fontId="21" fillId="0" borderId="12" xfId="58" applyNumberFormat="1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 applyProtection="1">
      <alignment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169" fontId="21" fillId="0" borderId="14" xfId="58" applyNumberFormat="1" applyFont="1" applyFill="1" applyBorder="1" applyAlignment="1" applyProtection="1">
      <alignment horizontal="center"/>
      <protection hidden="1"/>
    </xf>
    <xf numFmtId="168" fontId="21" fillId="0" borderId="15" xfId="48" applyNumberFormat="1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5" fontId="29" fillId="0" borderId="0" xfId="0" applyNumberFormat="1" applyFont="1" applyFill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175" fontId="30" fillId="0" borderId="11" xfId="48" applyNumberFormat="1" applyFont="1" applyFill="1" applyBorder="1" applyAlignment="1" applyProtection="1">
      <alignment/>
      <protection hidden="1"/>
    </xf>
    <xf numFmtId="175" fontId="30" fillId="0" borderId="0" xfId="48" applyNumberFormat="1" applyFont="1" applyFill="1" applyBorder="1" applyAlignment="1" applyProtection="1">
      <alignment/>
      <protection hidden="1"/>
    </xf>
    <xf numFmtId="0" fontId="46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 wrapText="1"/>
      <protection hidden="1"/>
    </xf>
    <xf numFmtId="164" fontId="43" fillId="0" borderId="0" xfId="48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top" wrapText="1"/>
      <protection hidden="1"/>
    </xf>
    <xf numFmtId="0" fontId="43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9" fillId="0" borderId="0" xfId="48" applyNumberFormat="1" applyFont="1" applyFill="1" applyBorder="1" applyAlignment="1" applyProtection="1">
      <alignment/>
      <protection hidden="1"/>
    </xf>
    <xf numFmtId="0" fontId="29" fillId="0" borderId="37" xfId="0" applyFont="1" applyBorder="1" applyAlignment="1" applyProtection="1">
      <alignment/>
      <protection hidden="1"/>
    </xf>
    <xf numFmtId="0" fontId="29" fillId="0" borderId="37" xfId="0" applyFont="1" applyBorder="1" applyAlignment="1" applyProtection="1">
      <alignment horizontal="right"/>
      <protection hidden="1"/>
    </xf>
    <xf numFmtId="172" fontId="30" fillId="0" borderId="37" xfId="0" applyNumberFormat="1" applyFont="1" applyBorder="1" applyAlignment="1" applyProtection="1">
      <alignment horizontal="center"/>
      <protection hidden="1"/>
    </xf>
    <xf numFmtId="0" fontId="29" fillId="0" borderId="37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0" fillId="26" borderId="0" xfId="0" applyFill="1" applyAlignment="1">
      <alignment/>
    </xf>
    <xf numFmtId="0" fontId="18" fillId="26" borderId="39" xfId="0" applyFont="1" applyFill="1" applyBorder="1" applyAlignment="1">
      <alignment/>
    </xf>
    <xf numFmtId="0" fontId="0" fillId="26" borderId="37" xfId="0" applyFill="1" applyBorder="1" applyAlignment="1">
      <alignment/>
    </xf>
    <xf numFmtId="0" fontId="0" fillId="26" borderId="40" xfId="0" applyFill="1" applyBorder="1" applyAlignment="1">
      <alignment/>
    </xf>
    <xf numFmtId="0" fontId="18" fillId="26" borderId="41" xfId="0" applyFont="1" applyFill="1" applyBorder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51" fillId="26" borderId="0" xfId="0" applyFont="1" applyFill="1" applyAlignment="1">
      <alignment/>
    </xf>
    <xf numFmtId="0" fontId="52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Border="1" applyAlignment="1">
      <alignment/>
    </xf>
    <xf numFmtId="0" fontId="53" fillId="0" borderId="38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textRotation="90"/>
      <protection hidden="1"/>
    </xf>
    <xf numFmtId="0" fontId="19" fillId="0" borderId="44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164" fontId="0" fillId="0" borderId="46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11" xfId="0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164" fontId="29" fillId="25" borderId="38" xfId="0" applyNumberFormat="1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horizontal="center" vertical="center"/>
      <protection hidden="1"/>
    </xf>
    <xf numFmtId="4" fontId="35" fillId="0" borderId="11" xfId="0" applyNumberFormat="1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30" fillId="0" borderId="44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 horizontal="center"/>
      <protection hidden="1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49" fontId="35" fillId="25" borderId="38" xfId="0" applyNumberFormat="1" applyFont="1" applyFill="1" applyBorder="1" applyAlignment="1" applyProtection="1">
      <alignment horizontal="left" indent="1"/>
      <protection locked="0"/>
    </xf>
    <xf numFmtId="49" fontId="36" fillId="0" borderId="0" xfId="0" applyNumberFormat="1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 vertical="center"/>
      <protection hidden="1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/>
    </xf>
    <xf numFmtId="0" fontId="53" fillId="26" borderId="49" xfId="0" applyFont="1" applyFill="1" applyBorder="1" applyAlignment="1">
      <alignment horizontal="center" vertical="center" wrapText="1"/>
    </xf>
    <xf numFmtId="176" fontId="19" fillId="7" borderId="44" xfId="52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>
      <alignment horizontal="center" vertical="center"/>
    </xf>
    <xf numFmtId="169" fontId="20" fillId="0" borderId="44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50" xfId="0" applyFont="1" applyBorder="1" applyAlignment="1" applyProtection="1">
      <alignment/>
      <protection hidden="1"/>
    </xf>
    <xf numFmtId="0" fontId="24" fillId="27" borderId="51" xfId="0" applyFont="1" applyFill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28" borderId="50" xfId="0" applyFill="1" applyBorder="1" applyAlignment="1" applyProtection="1">
      <alignment/>
      <protection hidden="1"/>
    </xf>
    <xf numFmtId="172" fontId="20" fillId="29" borderId="51" xfId="0" applyNumberFormat="1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1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27" borderId="55" xfId="0" applyFill="1" applyBorder="1" applyAlignment="1" applyProtection="1">
      <alignment/>
      <protection hidden="1"/>
    </xf>
    <xf numFmtId="3" fontId="0" fillId="27" borderId="55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6" xfId="52" applyFont="1" applyFill="1" applyBorder="1" applyAlignment="1">
      <alignment/>
    </xf>
    <xf numFmtId="176" fontId="0" fillId="0" borderId="56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76" fontId="0" fillId="0" borderId="57" xfId="52" applyFont="1" applyBorder="1" applyAlignment="1">
      <alignment horizontal="center" vertical="center" wrapText="1"/>
    </xf>
    <xf numFmtId="176" fontId="0" fillId="0" borderId="58" xfId="52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9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176" fontId="0" fillId="0" borderId="62" xfId="52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  <protection hidden="1"/>
    </xf>
    <xf numFmtId="189" fontId="0" fillId="0" borderId="52" xfId="0" applyNumberFormat="1" applyBorder="1" applyAlignment="1" applyProtection="1">
      <alignment/>
      <protection hidden="1"/>
    </xf>
    <xf numFmtId="172" fontId="0" fillId="0" borderId="63" xfId="0" applyNumberFormat="1" applyBorder="1" applyAlignment="1" applyProtection="1">
      <alignment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189" fontId="0" fillId="0" borderId="54" xfId="0" applyNumberFormat="1" applyBorder="1" applyAlignment="1" applyProtection="1">
      <alignment/>
      <protection hidden="1"/>
    </xf>
    <xf numFmtId="172" fontId="0" fillId="0" borderId="61" xfId="0" applyNumberFormat="1" applyBorder="1" applyAlignment="1" applyProtection="1">
      <alignment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189" fontId="0" fillId="29" borderId="59" xfId="0" applyNumberFormat="1" applyFill="1" applyBorder="1" applyAlignment="1" applyProtection="1">
      <alignment/>
      <protection hidden="1"/>
    </xf>
    <xf numFmtId="189" fontId="0" fillId="0" borderId="56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89" fontId="0" fillId="0" borderId="60" xfId="0" applyNumberFormat="1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89" fontId="0" fillId="29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3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182" fontId="26" fillId="27" borderId="50" xfId="0" applyNumberFormat="1" applyFont="1" applyFill="1" applyBorder="1" applyAlignment="1">
      <alignment horizontal="center"/>
    </xf>
    <xf numFmtId="182" fontId="26" fillId="0" borderId="50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6" fillId="0" borderId="64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2" borderId="64" xfId="0" applyFont="1" applyFill="1" applyBorder="1" applyAlignment="1">
      <alignment/>
    </xf>
    <xf numFmtId="0" fontId="28" fillId="32" borderId="65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2" borderId="53" xfId="0" applyFont="1" applyFill="1" applyBorder="1" applyAlignment="1">
      <alignment/>
    </xf>
    <xf numFmtId="0" fontId="28" fillId="32" borderId="50" xfId="0" applyFont="1" applyFill="1" applyBorder="1" applyAlignment="1">
      <alignment/>
    </xf>
    <xf numFmtId="0" fontId="28" fillId="0" borderId="53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182" fontId="26" fillId="0" borderId="53" xfId="0" applyNumberFormat="1" applyFont="1" applyBorder="1" applyAlignment="1">
      <alignment horizontal="center"/>
    </xf>
    <xf numFmtId="2" fontId="28" fillId="0" borderId="64" xfId="0" applyNumberFormat="1" applyFont="1" applyBorder="1" applyAlignment="1">
      <alignment horizont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2" fontId="28" fillId="0" borderId="53" xfId="0" applyNumberFormat="1" applyFont="1" applyBorder="1" applyAlignment="1">
      <alignment horizontal="center"/>
    </xf>
    <xf numFmtId="182" fontId="26" fillId="0" borderId="66" xfId="0" applyNumberFormat="1" applyFont="1" applyBorder="1" applyAlignment="1">
      <alignment horizontal="center"/>
    </xf>
    <xf numFmtId="2" fontId="28" fillId="0" borderId="66" xfId="0" applyNumberFormat="1" applyFont="1" applyBorder="1" applyAlignment="1">
      <alignment horizontal="center"/>
    </xf>
    <xf numFmtId="0" fontId="0" fillId="0" borderId="56" xfId="0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189" fontId="0" fillId="0" borderId="55" xfId="0" applyNumberFormat="1" applyBorder="1" applyAlignment="1" applyProtection="1">
      <alignment horizontal="center"/>
      <protection hidden="1"/>
    </xf>
    <xf numFmtId="189" fontId="0" fillId="0" borderId="55" xfId="0" applyNumberFormat="1" applyBorder="1" applyAlignment="1" applyProtection="1">
      <alignment/>
      <protection hidden="1"/>
    </xf>
    <xf numFmtId="189" fontId="0" fillId="0" borderId="61" xfId="0" applyNumberFormat="1" applyBorder="1" applyAlignment="1" applyProtection="1">
      <alignment/>
      <protection hidden="1"/>
    </xf>
    <xf numFmtId="172" fontId="59" fillId="0" borderId="68" xfId="0" applyNumberFormat="1" applyFont="1" applyFill="1" applyBorder="1" applyAlignment="1" applyProtection="1">
      <alignment horizontal="center" vertical="center"/>
      <protection hidden="1"/>
    </xf>
    <xf numFmtId="172" fontId="59" fillId="25" borderId="68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2">
    <dxf>
      <font>
        <b val="0"/>
        <color indexed="9"/>
      </font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0</xdr:rowOff>
    </xdr:from>
    <xdr:to>
      <xdr:col>8</xdr:col>
      <xdr:colOff>180975</xdr:colOff>
      <xdr:row>42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66950"/>
          <a:ext cx="4429125" cy="466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9.14062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34" t="s">
        <v>0</v>
      </c>
      <c r="C2" s="234"/>
      <c r="D2" s="234"/>
      <c r="E2" s="3">
        <f>x!C8</f>
        <v>25</v>
      </c>
      <c r="G2" s="4"/>
    </row>
    <row r="3" ht="15.75">
      <c r="C3" s="5"/>
    </row>
    <row r="4" spans="2:13" ht="15.75">
      <c r="B4" s="228" t="s">
        <v>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2:13" ht="12.75">
      <c r="B5" s="233" t="s">
        <v>2</v>
      </c>
      <c r="C5" s="233"/>
      <c r="D5" s="233" t="s">
        <v>3</v>
      </c>
      <c r="E5" s="233"/>
      <c r="F5" s="233" t="s">
        <v>4</v>
      </c>
      <c r="G5" s="233"/>
      <c r="H5" s="233" t="s">
        <v>5</v>
      </c>
      <c r="I5" s="233"/>
      <c r="J5" s="233" t="s">
        <v>6</v>
      </c>
      <c r="K5" s="233"/>
      <c r="L5" s="233" t="s">
        <v>7</v>
      </c>
      <c r="M5" s="233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33" t="s">
        <v>2</v>
      </c>
      <c r="C14" s="233"/>
      <c r="D14" s="233" t="s">
        <v>12</v>
      </c>
      <c r="E14" s="233"/>
      <c r="F14" s="233" t="s">
        <v>13</v>
      </c>
      <c r="G14" s="233"/>
      <c r="H14" s="233" t="s">
        <v>14</v>
      </c>
      <c r="I14" s="233"/>
      <c r="J14" s="233" t="s">
        <v>15</v>
      </c>
      <c r="K14" s="233"/>
      <c r="L14" s="233" t="s">
        <v>16</v>
      </c>
      <c r="M14" s="233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28" t="s">
        <v>17</v>
      </c>
      <c r="C24" s="228"/>
      <c r="D24" s="228"/>
      <c r="E24" s="228"/>
    </row>
    <row r="25" spans="2:5" ht="12.75">
      <c r="B25" s="230" t="s">
        <v>2</v>
      </c>
      <c r="C25" s="230"/>
      <c r="D25" s="233" t="s">
        <v>18</v>
      </c>
      <c r="E25" s="233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28" t="s">
        <v>19</v>
      </c>
      <c r="C37" s="228"/>
      <c r="D37" s="228"/>
      <c r="E37" s="228"/>
    </row>
    <row r="38" spans="2:5" ht="12.75">
      <c r="B38" s="230" t="s">
        <v>2</v>
      </c>
      <c r="C38" s="230"/>
      <c r="D38" s="233" t="s">
        <v>18</v>
      </c>
      <c r="E38" s="233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28" t="s">
        <v>20</v>
      </c>
      <c r="C50" s="228"/>
      <c r="D50" s="228"/>
      <c r="E50" s="228"/>
      <c r="F50" s="228"/>
      <c r="G50" s="228"/>
    </row>
    <row r="51" spans="2:7" ht="12.75">
      <c r="B51" s="230" t="s">
        <v>2</v>
      </c>
      <c r="C51" s="230"/>
      <c r="D51" s="230" t="s">
        <v>21</v>
      </c>
      <c r="E51" s="230"/>
      <c r="F51" s="230" t="s">
        <v>22</v>
      </c>
      <c r="G51" s="230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28" t="s">
        <v>23</v>
      </c>
      <c r="C60" s="228"/>
      <c r="D60" s="228"/>
      <c r="E60" s="228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30" t="s">
        <v>2</v>
      </c>
      <c r="C62" s="230"/>
      <c r="D62" s="230" t="s">
        <v>26</v>
      </c>
      <c r="E62" s="230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28" t="s">
        <v>27</v>
      </c>
      <c r="C71" s="228"/>
      <c r="D71" s="228"/>
      <c r="E71" s="228"/>
    </row>
    <row r="72" spans="2:5" ht="12.75">
      <c r="B72" s="229" t="s">
        <v>2</v>
      </c>
      <c r="C72" s="229"/>
      <c r="D72" s="230"/>
      <c r="E72" s="230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28" t="s">
        <v>28</v>
      </c>
      <c r="C81" s="228"/>
      <c r="D81" s="228"/>
      <c r="E81" s="228"/>
    </row>
    <row r="82" spans="2:5" ht="12.75">
      <c r="B82" s="36" t="s">
        <v>29</v>
      </c>
      <c r="C82" s="231">
        <f>1000*E2</f>
        <v>25000</v>
      </c>
      <c r="D82" s="231"/>
      <c r="E82" s="37" t="s">
        <v>30</v>
      </c>
    </row>
    <row r="83" spans="2:5" ht="12.75">
      <c r="B83" s="38" t="s">
        <v>31</v>
      </c>
      <c r="C83" s="232">
        <f>2000*E2</f>
        <v>50000</v>
      </c>
      <c r="D83" s="232"/>
      <c r="E83" s="40" t="s">
        <v>30</v>
      </c>
    </row>
    <row r="84" spans="2:5" ht="12.75">
      <c r="B84" s="226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26"/>
      <c r="C85" s="43" t="s">
        <v>34</v>
      </c>
      <c r="D85" s="44">
        <f>2000*E2</f>
        <v>50000</v>
      </c>
      <c r="E85" s="14" t="s">
        <v>30</v>
      </c>
    </row>
    <row r="88" spans="2:27" ht="15.75">
      <c r="B88" s="227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27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2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27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J14:K14"/>
    <mergeCell ref="L14:M14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60:E60"/>
    <mergeCell ref="B62:C62"/>
    <mergeCell ref="D62:E62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/>
  <dimension ref="A1:F1145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V123"/>
  <sheetViews>
    <sheetView zoomScale="80" zoomScaleNormal="80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60" t="s">
        <v>182</v>
      </c>
      <c r="C1" s="261"/>
      <c r="D1" s="261"/>
      <c r="F1" s="260" t="s">
        <v>370</v>
      </c>
    </row>
    <row r="2" ht="12.75">
      <c r="F2" s="260" t="s">
        <v>371</v>
      </c>
    </row>
    <row r="3" spans="2:7" ht="16.5">
      <c r="B3" s="262" t="s">
        <v>183</v>
      </c>
      <c r="C3" s="262"/>
      <c r="D3" s="262"/>
      <c r="E3" s="262"/>
      <c r="F3" s="263" t="s">
        <v>184</v>
      </c>
      <c r="G3" s="264">
        <v>78.57</v>
      </c>
    </row>
    <row r="4" spans="7:14" ht="12.75">
      <c r="G4" s="265"/>
      <c r="K4" s="266" t="s">
        <v>185</v>
      </c>
      <c r="L4" s="267" t="s">
        <v>186</v>
      </c>
      <c r="M4" s="267" t="s">
        <v>187</v>
      </c>
      <c r="N4" s="267" t="s">
        <v>188</v>
      </c>
    </row>
    <row r="5" spans="2:10" ht="12.75">
      <c r="B5" s="268" t="s">
        <v>189</v>
      </c>
      <c r="C5" s="269">
        <v>500000</v>
      </c>
      <c r="D5" s="267" t="s">
        <v>186</v>
      </c>
      <c r="E5" s="267" t="s">
        <v>187</v>
      </c>
      <c r="F5" s="270" t="s">
        <v>188</v>
      </c>
      <c r="G5" s="265" t="s">
        <v>190</v>
      </c>
      <c r="J5" s="271">
        <f>ROUND(9611*C8,0)</f>
        <v>240275</v>
      </c>
    </row>
    <row r="6" spans="2:19" ht="12.75">
      <c r="B6" s="268" t="s">
        <v>191</v>
      </c>
      <c r="C6" s="272">
        <f>5000*C8</f>
        <v>125000</v>
      </c>
      <c r="E6" s="273"/>
      <c r="G6" s="265" t="s">
        <v>192</v>
      </c>
      <c r="J6" s="274"/>
      <c r="S6" s="271"/>
    </row>
    <row r="7" spans="2:19" ht="12.75">
      <c r="B7" s="87" t="s">
        <v>193</v>
      </c>
      <c r="C7" s="275">
        <v>1</v>
      </c>
      <c r="E7" s="276"/>
      <c r="G7" s="265" t="s">
        <v>194</v>
      </c>
      <c r="J7" s="271">
        <f>ROUND(34320*C8,0)</f>
        <v>858000</v>
      </c>
      <c r="K7" s="261">
        <f>A13</f>
        <v>680950</v>
      </c>
      <c r="L7" s="277">
        <f>D13</f>
        <v>68095</v>
      </c>
      <c r="M7" s="277">
        <f>L7</f>
        <v>68095</v>
      </c>
      <c r="N7" s="277">
        <f>F13</f>
        <v>40860</v>
      </c>
      <c r="O7" s="107">
        <f>K7+L7+M7+N7</f>
        <v>858000</v>
      </c>
      <c r="S7" s="271"/>
    </row>
    <row r="8" spans="2:19" ht="12.75">
      <c r="B8" s="268" t="s">
        <v>195</v>
      </c>
      <c r="C8" s="278">
        <v>25</v>
      </c>
      <c r="E8" s="276"/>
      <c r="G8" s="265" t="s">
        <v>196</v>
      </c>
      <c r="J8" s="271">
        <f>J5</f>
        <v>240275</v>
      </c>
      <c r="S8" s="271"/>
    </row>
    <row r="9" spans="2:22" ht="12.75">
      <c r="B9" s="1" t="s">
        <v>197</v>
      </c>
      <c r="C9" s="279"/>
      <c r="E9" s="276"/>
      <c r="G9" s="265" t="s">
        <v>198</v>
      </c>
      <c r="J9" s="271">
        <f>ROUND(J5*1.4244,0)</f>
        <v>342248</v>
      </c>
      <c r="N9" s="87"/>
      <c r="S9" s="280"/>
      <c r="U9" s="93"/>
      <c r="V9" s="93"/>
    </row>
    <row r="10" spans="2:19" ht="12.75">
      <c r="B10" s="1" t="s">
        <v>199</v>
      </c>
      <c r="C10" s="281">
        <f>ROUND((C6*76)/10000,0)</f>
        <v>950</v>
      </c>
      <c r="E10" s="282"/>
      <c r="G10" s="265" t="s">
        <v>200</v>
      </c>
      <c r="J10" s="271">
        <f>ROUND(6540*C8,0)</f>
        <v>163500</v>
      </c>
      <c r="N10" s="87"/>
      <c r="S10" s="93"/>
    </row>
    <row r="11" spans="2:19" ht="12.75">
      <c r="B11" s="1" t="s">
        <v>201</v>
      </c>
      <c r="C11" s="271"/>
      <c r="E11" s="273"/>
      <c r="G11" s="265" t="s">
        <v>202</v>
      </c>
      <c r="J11" s="271">
        <f>ROUND(16343*C8,0)</f>
        <v>408575</v>
      </c>
      <c r="N11" s="87"/>
      <c r="S11" s="93"/>
    </row>
    <row r="12" spans="2:10" ht="12.75">
      <c r="B12" s="1" t="s">
        <v>203</v>
      </c>
      <c r="C12" s="271">
        <f>9120*C8</f>
        <v>228000</v>
      </c>
      <c r="E12" s="273"/>
      <c r="G12" s="265" t="s">
        <v>204</v>
      </c>
      <c r="J12" s="271">
        <f>ROUND(6863*C8,0)</f>
        <v>171575</v>
      </c>
    </row>
    <row r="13" spans="1:10" ht="12.75">
      <c r="A13" s="261">
        <v>680950</v>
      </c>
      <c r="B13" s="1" t="s">
        <v>205</v>
      </c>
      <c r="C13" s="271">
        <f>34320*C8</f>
        <v>858000</v>
      </c>
      <c r="D13" s="277">
        <v>68095</v>
      </c>
      <c r="E13" s="277">
        <v>68095</v>
      </c>
      <c r="F13" s="277">
        <v>40860</v>
      </c>
      <c r="G13" s="265" t="s">
        <v>206</v>
      </c>
      <c r="J13" s="271">
        <f>ROUND(8554*C8,0)</f>
        <v>213850</v>
      </c>
    </row>
    <row r="14" spans="1:17" ht="12.75">
      <c r="A14" s="261">
        <v>476764</v>
      </c>
      <c r="B14" s="1" t="s">
        <v>207</v>
      </c>
      <c r="C14" s="271">
        <f>ROUND(24029*C8,0)</f>
        <v>600725</v>
      </c>
      <c r="D14" s="277">
        <v>47676</v>
      </c>
      <c r="E14" s="277">
        <v>47676</v>
      </c>
      <c r="F14" s="277">
        <v>28609</v>
      </c>
      <c r="G14" s="265" t="s">
        <v>208</v>
      </c>
      <c r="J14" s="271">
        <f>C6</f>
        <v>125000</v>
      </c>
      <c r="N14" s="89"/>
      <c r="O14" s="89"/>
      <c r="P14" s="89"/>
      <c r="Q14" s="89"/>
    </row>
    <row r="15" spans="1:20" ht="12.75">
      <c r="A15" s="261">
        <v>544920</v>
      </c>
      <c r="B15" s="1" t="s">
        <v>209</v>
      </c>
      <c r="C15" s="271">
        <f>ROUND(27464*C8,0)</f>
        <v>686600</v>
      </c>
      <c r="D15" s="277">
        <v>54492</v>
      </c>
      <c r="E15" s="277">
        <v>54492</v>
      </c>
      <c r="F15" s="277">
        <v>32696</v>
      </c>
      <c r="G15" s="265" t="s">
        <v>210</v>
      </c>
      <c r="J15" s="271">
        <f>ROUND(720*C8,0)</f>
        <v>18000</v>
      </c>
      <c r="N15" s="84"/>
      <c r="O15" s="84"/>
      <c r="P15" s="283"/>
      <c r="Q15" s="84"/>
      <c r="R15" s="284"/>
      <c r="S15" s="285"/>
      <c r="T15" s="284"/>
    </row>
    <row r="16" spans="2:20" ht="12.75">
      <c r="B16" s="1" t="s">
        <v>211</v>
      </c>
      <c r="C16" s="271">
        <f>K57</f>
        <v>12000</v>
      </c>
      <c r="E16" s="273"/>
      <c r="G16" s="265" t="s">
        <v>212</v>
      </c>
      <c r="J16" s="271">
        <f>ROUND(26149*C8,0)</f>
        <v>653725</v>
      </c>
      <c r="K16" s="261">
        <v>544771</v>
      </c>
      <c r="L16" s="277">
        <v>54477</v>
      </c>
      <c r="M16" s="277">
        <v>54477</v>
      </c>
      <c r="N16" s="84">
        <f>K16+L16+M16</f>
        <v>653725</v>
      </c>
      <c r="O16" s="84"/>
      <c r="P16" s="283"/>
      <c r="Q16" s="84"/>
      <c r="R16" s="286"/>
      <c r="S16" s="285"/>
      <c r="T16" s="284"/>
    </row>
    <row r="17" spans="2:20" ht="12.75">
      <c r="B17" s="1" t="s">
        <v>213</v>
      </c>
      <c r="C17" s="271">
        <f>14000*C8</f>
        <v>350000</v>
      </c>
      <c r="D17" s="1" t="s">
        <v>214</v>
      </c>
      <c r="E17" s="273"/>
      <c r="G17" s="287" t="s">
        <v>215</v>
      </c>
      <c r="J17" s="271">
        <f>ROUND(16342.3*C8,0)</f>
        <v>408558</v>
      </c>
      <c r="N17" s="84"/>
      <c r="O17" s="84"/>
      <c r="P17" s="283"/>
      <c r="Q17" s="84"/>
      <c r="R17" s="286"/>
      <c r="S17" s="285"/>
      <c r="T17" s="284"/>
    </row>
    <row r="18" spans="2:20" ht="12.75">
      <c r="B18" s="1" t="s">
        <v>216</v>
      </c>
      <c r="C18" s="271">
        <f>10000*C8</f>
        <v>250000</v>
      </c>
      <c r="G18" s="288" t="s">
        <v>372</v>
      </c>
      <c r="H18" s="289"/>
      <c r="I18" s="289"/>
      <c r="J18" s="271">
        <f>ROUND(19223*C8,0)</f>
        <v>480575</v>
      </c>
      <c r="K18" s="290">
        <v>381410</v>
      </c>
      <c r="L18" s="290">
        <v>38141</v>
      </c>
      <c r="M18" s="290">
        <v>38141</v>
      </c>
      <c r="N18" s="291">
        <v>22883</v>
      </c>
      <c r="O18" s="84">
        <f>K18+L18+M18+N18</f>
        <v>480575</v>
      </c>
      <c r="P18" s="283"/>
      <c r="Q18" s="84"/>
      <c r="R18" s="286"/>
      <c r="S18" s="285"/>
      <c r="T18" s="284"/>
    </row>
    <row r="19" spans="2:20" ht="12.75">
      <c r="B19" s="1" t="s">
        <v>217</v>
      </c>
      <c r="C19" s="271">
        <f>16000*C8</f>
        <v>400000</v>
      </c>
      <c r="G19" s="265" t="s">
        <v>218</v>
      </c>
      <c r="I19" s="292" t="s">
        <v>219</v>
      </c>
      <c r="J19" s="293">
        <f>ROUND(16676*C8,0)</f>
        <v>416900</v>
      </c>
      <c r="K19" s="294"/>
      <c r="N19" s="84"/>
      <c r="O19" s="84"/>
      <c r="P19" s="283"/>
      <c r="Q19" s="84"/>
      <c r="R19" s="286"/>
      <c r="S19" s="285"/>
      <c r="T19" s="284"/>
    </row>
    <row r="20" spans="2:17" ht="12.75">
      <c r="B20" s="1" t="s">
        <v>220</v>
      </c>
      <c r="C20" s="271">
        <f>C5*0.36</f>
        <v>180000</v>
      </c>
      <c r="E20" s="273"/>
      <c r="G20" s="287" t="s">
        <v>221</v>
      </c>
      <c r="H20" s="295">
        <f>J20-J19</f>
        <v>416900</v>
      </c>
      <c r="I20" s="292" t="s">
        <v>219</v>
      </c>
      <c r="J20" s="296">
        <f>J19*2</f>
        <v>833800</v>
      </c>
      <c r="K20" s="297"/>
      <c r="N20" s="84"/>
      <c r="O20" s="84"/>
      <c r="P20" s="283"/>
      <c r="Q20" s="84"/>
    </row>
    <row r="21" spans="2:17" ht="12.75">
      <c r="B21" s="1" t="s">
        <v>222</v>
      </c>
      <c r="C21" s="271">
        <f>C5*0.08</f>
        <v>40000</v>
      </c>
      <c r="E21" s="273"/>
      <c r="G21" s="287" t="s">
        <v>221</v>
      </c>
      <c r="H21" s="295">
        <f>ROUND(10810.68*C8,0)</f>
        <v>270267</v>
      </c>
      <c r="I21" s="292" t="s">
        <v>219</v>
      </c>
      <c r="J21" s="296">
        <f>J20+H21</f>
        <v>1104067</v>
      </c>
      <c r="K21" s="297"/>
      <c r="O21" s="89"/>
      <c r="P21" s="283"/>
      <c r="Q21" s="298"/>
    </row>
    <row r="22" spans="2:11" ht="12.75">
      <c r="B22" s="1" t="s">
        <v>223</v>
      </c>
      <c r="C22" s="271">
        <f>ROUND(6934.5*C8,0)</f>
        <v>173363</v>
      </c>
      <c r="E22" s="273"/>
      <c r="G22" s="287" t="s">
        <v>221</v>
      </c>
      <c r="H22" s="295">
        <f>ROUND(22570.68*C8,0)</f>
        <v>564267</v>
      </c>
      <c r="I22" s="292" t="s">
        <v>219</v>
      </c>
      <c r="J22" s="296">
        <f>J21+H22</f>
        <v>1668334</v>
      </c>
      <c r="K22" s="297"/>
    </row>
    <row r="23" spans="2:11" ht="12.75">
      <c r="B23" s="1" t="s">
        <v>224</v>
      </c>
      <c r="C23" s="273"/>
      <c r="E23" s="273"/>
      <c r="G23" s="287" t="s">
        <v>221</v>
      </c>
      <c r="H23" s="295">
        <f>ROUND(16671.7*C8,0)</f>
        <v>416793</v>
      </c>
      <c r="I23" s="292" t="s">
        <v>219</v>
      </c>
      <c r="J23" s="296">
        <f>J22+H23</f>
        <v>2085127</v>
      </c>
      <c r="K23" s="299"/>
    </row>
    <row r="24" spans="2:12" ht="12.75">
      <c r="B24" s="1" t="s">
        <v>225</v>
      </c>
      <c r="C24" s="300">
        <v>476766</v>
      </c>
      <c r="E24" s="301"/>
      <c r="G24" s="265"/>
      <c r="H24" s="295"/>
      <c r="K24" s="1" t="s">
        <v>10</v>
      </c>
      <c r="L24" s="1" t="s">
        <v>226</v>
      </c>
    </row>
    <row r="25" spans="1:12" ht="12.75">
      <c r="A25" s="261">
        <v>381443</v>
      </c>
      <c r="B25" s="87" t="s">
        <v>373</v>
      </c>
      <c r="C25" s="271">
        <f>ROUND(19224.8*C8,0)</f>
        <v>480620</v>
      </c>
      <c r="D25" s="261">
        <v>38144</v>
      </c>
      <c r="E25" s="302">
        <v>38144</v>
      </c>
      <c r="F25" s="261">
        <v>22889</v>
      </c>
      <c r="G25" s="287" t="s">
        <v>227</v>
      </c>
      <c r="I25" s="292" t="s">
        <v>228</v>
      </c>
      <c r="J25" s="303">
        <f>125000*C8</f>
        <v>3125000</v>
      </c>
      <c r="K25" s="1">
        <v>2</v>
      </c>
      <c r="L25" s="303">
        <f>J25*K25%</f>
        <v>62500</v>
      </c>
    </row>
    <row r="26" spans="3:12" ht="12.75">
      <c r="C26" s="273"/>
      <c r="E26" s="273"/>
      <c r="G26" s="265"/>
      <c r="I26" s="292" t="s">
        <v>219</v>
      </c>
      <c r="J26" s="303">
        <f>500000*C8</f>
        <v>12500000</v>
      </c>
      <c r="K26" s="1">
        <v>1.5</v>
      </c>
      <c r="L26" s="303">
        <f>ROUNDDOWN((J26-J25)*K26%+L25,0)</f>
        <v>203125</v>
      </c>
    </row>
    <row r="27" spans="2:12" ht="12.75">
      <c r="B27" s="1" t="s">
        <v>229</v>
      </c>
      <c r="C27" s="304"/>
      <c r="E27" s="273"/>
      <c r="G27" s="265"/>
      <c r="I27" s="292" t="s">
        <v>219</v>
      </c>
      <c r="J27" s="303">
        <f>1000000*C8</f>
        <v>25000000</v>
      </c>
      <c r="K27" s="1">
        <v>1</v>
      </c>
      <c r="L27" s="303">
        <f>(J27-J26)*K27%+L26</f>
        <v>328125</v>
      </c>
    </row>
    <row r="28" spans="7:12" ht="12.75">
      <c r="G28" s="265"/>
      <c r="I28" s="292" t="s">
        <v>219</v>
      </c>
      <c r="J28" s="303">
        <f>2000000*C8</f>
        <v>50000000</v>
      </c>
      <c r="K28" s="1">
        <v>0.6</v>
      </c>
      <c r="L28" s="303">
        <f>(J28-J27)*K28%+L27</f>
        <v>478125</v>
      </c>
    </row>
    <row r="29" spans="7:12" ht="12.75">
      <c r="G29" s="265"/>
      <c r="I29" s="292" t="s">
        <v>219</v>
      </c>
      <c r="J29" s="303">
        <f>4000000*C8</f>
        <v>100000000</v>
      </c>
      <c r="K29" s="1">
        <v>0.4</v>
      </c>
      <c r="L29" s="303">
        <f>(J29-J28)*K29%+L28</f>
        <v>678125</v>
      </c>
    </row>
    <row r="30" spans="7:12" ht="12.75">
      <c r="G30" s="265"/>
      <c r="I30" s="292" t="s">
        <v>219</v>
      </c>
      <c r="J30" s="303">
        <f>7500000*C8</f>
        <v>187500000</v>
      </c>
      <c r="K30" s="1">
        <v>0.2</v>
      </c>
      <c r="L30" s="303">
        <f>(J30-J29)*K30%+L29</f>
        <v>853125</v>
      </c>
    </row>
    <row r="31" spans="2:11" ht="12.75">
      <c r="B31" s="1" t="s">
        <v>230</v>
      </c>
      <c r="G31" s="265"/>
      <c r="I31" s="1" t="s">
        <v>8</v>
      </c>
      <c r="K31" s="1">
        <v>0.1</v>
      </c>
    </row>
    <row r="32" spans="2:10" ht="12.75" customHeight="1">
      <c r="B32" s="1" t="s">
        <v>8</v>
      </c>
      <c r="G32" s="287" t="s">
        <v>231</v>
      </c>
      <c r="I32" s="305">
        <f>37310*(C8/0.36)</f>
        <v>2590972.222222222</v>
      </c>
      <c r="J32" s="306"/>
    </row>
    <row r="33" spans="2:10" ht="12.75">
      <c r="B33" s="303">
        <f>200000*C8</f>
        <v>5000000</v>
      </c>
      <c r="I33" s="305">
        <f>55972*(C8/0.36)</f>
        <v>3886944.4444444445</v>
      </c>
      <c r="J33" s="307"/>
    </row>
    <row r="34" spans="2:10" ht="12.75">
      <c r="B34" s="303">
        <f>(1000000-200000)*C8</f>
        <v>20000000</v>
      </c>
      <c r="I34" s="305">
        <f>93286*(C8/0.36)</f>
        <v>6478194.444444444</v>
      </c>
      <c r="J34" s="307"/>
    </row>
    <row r="35" spans="2:10" ht="12.75">
      <c r="B35" s="303">
        <f>(2000000-1000000)*C8</f>
        <v>25000000</v>
      </c>
      <c r="I35" s="305">
        <f>186580*(C8/0.36)</f>
        <v>12956944.444444444</v>
      </c>
      <c r="J35" s="307"/>
    </row>
    <row r="36" spans="2:10" ht="12.75">
      <c r="B36" s="303">
        <f>(5000000-2000000)*C8</f>
        <v>75000000</v>
      </c>
      <c r="I36" s="305">
        <f>558090*(C8/0.36)</f>
        <v>38756250</v>
      </c>
      <c r="J36" s="307"/>
    </row>
    <row r="37" spans="9:10" ht="12.75">
      <c r="I37" s="305">
        <f>931215*(C8/0.36)</f>
        <v>64667708.33333333</v>
      </c>
      <c r="J37" s="307"/>
    </row>
    <row r="38" spans="2:10" ht="12.75">
      <c r="B38" s="1" t="s">
        <v>232</v>
      </c>
      <c r="I38" s="305">
        <f>1868989*(C8/0.36)</f>
        <v>129790902.77777778</v>
      </c>
      <c r="J38" s="307"/>
    </row>
    <row r="39" spans="2:10" ht="12.75">
      <c r="B39" s="1" t="s">
        <v>8</v>
      </c>
      <c r="I39" s="305">
        <f>3718378*(C8/0.36)</f>
        <v>258220694.44444445</v>
      </c>
      <c r="J39" s="307"/>
    </row>
    <row r="40" spans="2:10" ht="12.75">
      <c r="B40" s="303">
        <f>200000*C8</f>
        <v>5000000</v>
      </c>
      <c r="I40" s="305">
        <f>7449822*(C8/0.36)</f>
        <v>517348750</v>
      </c>
      <c r="J40" s="307"/>
    </row>
    <row r="41" spans="2:10" ht="12.75">
      <c r="B41" s="303">
        <f>(1000000-200000)*C8</f>
        <v>20000000</v>
      </c>
      <c r="I41" s="305">
        <f>14899636*(C8/0.36)</f>
        <v>1034696944.4444444</v>
      </c>
      <c r="J41" s="307"/>
    </row>
    <row r="42" spans="2:10" ht="12.75">
      <c r="B42" s="303">
        <f>(2000000-1000000)*C8</f>
        <v>25000000</v>
      </c>
      <c r="I42" s="305">
        <f>29799278*(C8/0.36)</f>
        <v>2069394305.5555556</v>
      </c>
      <c r="J42" s="307"/>
    </row>
    <row r="43" spans="2:10" ht="12.75">
      <c r="B43" s="303">
        <f>(5000000-2000000)*C8</f>
        <v>75000000</v>
      </c>
      <c r="I43" s="305">
        <f>59598560*(C8/0.36)</f>
        <v>4138788888.888889</v>
      </c>
      <c r="J43" s="307"/>
    </row>
    <row r="44" spans="6:10" ht="12.75">
      <c r="F44" s="308" t="s">
        <v>233</v>
      </c>
      <c r="G44" s="309"/>
      <c r="I44" s="305">
        <f>119197121*(C8/0.36)</f>
        <v>8277577847.222222</v>
      </c>
      <c r="J44" s="307"/>
    </row>
    <row r="45" spans="6:10" ht="12.75">
      <c r="F45" s="310"/>
      <c r="G45" s="311"/>
      <c r="I45" s="305">
        <f>238394228*(C8/0.36)</f>
        <v>16555154722.222221</v>
      </c>
      <c r="J45" s="307"/>
    </row>
    <row r="46" spans="2:10" ht="12.75">
      <c r="B46" s="87" t="s">
        <v>234</v>
      </c>
      <c r="C46" s="312">
        <v>1</v>
      </c>
      <c r="F46" s="313">
        <f>C48</f>
        <v>203958</v>
      </c>
      <c r="G46" s="314">
        <f>F46</f>
        <v>203958</v>
      </c>
      <c r="I46" s="305">
        <f>476788468*(C8/0.36)</f>
        <v>33110310277.77778</v>
      </c>
      <c r="J46" s="315"/>
    </row>
    <row r="47" spans="2:7" ht="12.75">
      <c r="B47" s="87" t="s">
        <v>235</v>
      </c>
      <c r="C47" s="273">
        <f>ROUND(6540*C8,0)</f>
        <v>163500</v>
      </c>
      <c r="D47" s="316"/>
      <c r="F47" s="317">
        <f>(C51*E51%)/10</f>
        <v>24700.000000000004</v>
      </c>
      <c r="G47" s="318">
        <f>G46+F47</f>
        <v>228658</v>
      </c>
    </row>
    <row r="48" spans="2:7" ht="12.75">
      <c r="B48" s="87" t="s">
        <v>236</v>
      </c>
      <c r="C48" s="273">
        <f>ROUND(8158.3*C8,0)</f>
        <v>203958</v>
      </c>
      <c r="D48" s="319"/>
      <c r="F48" s="320">
        <f>(C52*E52%)/10</f>
        <v>48000</v>
      </c>
      <c r="G48" s="321">
        <f>G47+F48</f>
        <v>276658</v>
      </c>
    </row>
    <row r="49" ht="12.75">
      <c r="E49" s="85" t="s">
        <v>237</v>
      </c>
    </row>
    <row r="50" spans="2:10" ht="12.75">
      <c r="B50" s="322" t="s">
        <v>238</v>
      </c>
      <c r="C50" s="323">
        <v>1000000</v>
      </c>
      <c r="D50" s="324">
        <f>C50</f>
        <v>1000000</v>
      </c>
      <c r="E50" s="325"/>
      <c r="F50" s="324">
        <f>C47</f>
        <v>163500</v>
      </c>
      <c r="G50" s="326">
        <f>F50</f>
        <v>163500</v>
      </c>
      <c r="I50" s="87" t="s">
        <v>239</v>
      </c>
      <c r="J50" s="305">
        <f>ROUND(7500*C8,0)</f>
        <v>187500</v>
      </c>
    </row>
    <row r="51" spans="2:10" ht="12.75">
      <c r="B51" s="327"/>
      <c r="C51" s="317">
        <f>D51-D50</f>
        <v>19000000</v>
      </c>
      <c r="D51" s="328">
        <v>20000000</v>
      </c>
      <c r="E51" s="89">
        <v>1.3</v>
      </c>
      <c r="F51" s="329">
        <f>(C51*E51%)/10</f>
        <v>24700.000000000004</v>
      </c>
      <c r="G51" s="330">
        <f>G50+F51</f>
        <v>188200</v>
      </c>
      <c r="J51" s="305">
        <f>ROUND(12500*C8,0)</f>
        <v>312500</v>
      </c>
    </row>
    <row r="52" spans="2:10" ht="12.75">
      <c r="B52" s="310"/>
      <c r="C52" s="317">
        <f>D52-D51</f>
        <v>80000000</v>
      </c>
      <c r="D52" s="328">
        <v>100000000</v>
      </c>
      <c r="E52" s="89">
        <v>0.6</v>
      </c>
      <c r="F52" s="329">
        <f>(C52*E52%)/10</f>
        <v>48000</v>
      </c>
      <c r="G52" s="330">
        <f>G51+F52</f>
        <v>236200</v>
      </c>
      <c r="J52" s="305">
        <f>ROUND(18750*C8,0)</f>
        <v>468750</v>
      </c>
    </row>
    <row r="53" spans="3:7" ht="12.75">
      <c r="C53" s="331"/>
      <c r="D53" s="289"/>
      <c r="E53" s="332">
        <v>0.3</v>
      </c>
      <c r="F53" s="289"/>
      <c r="G53" s="333"/>
    </row>
    <row r="54" spans="5:13" ht="12.75">
      <c r="E54" s="88" t="s">
        <v>10</v>
      </c>
      <c r="L54" s="87"/>
      <c r="M54" s="87"/>
    </row>
    <row r="55" spans="2:13" ht="12.75">
      <c r="B55" s="334" t="s">
        <v>240</v>
      </c>
      <c r="C55" s="328">
        <v>120000</v>
      </c>
      <c r="D55" s="329">
        <f>C55</f>
        <v>120000</v>
      </c>
      <c r="E55" s="89"/>
      <c r="F55" s="329">
        <f>F50</f>
        <v>163500</v>
      </c>
      <c r="G55" s="329">
        <f>F55</f>
        <v>163500</v>
      </c>
      <c r="I55" s="87" t="s">
        <v>241</v>
      </c>
      <c r="L55" s="87"/>
      <c r="M55" s="87"/>
    </row>
    <row r="56" spans="2:14" ht="25.5">
      <c r="B56" s="335"/>
      <c r="C56" s="329">
        <f>D56-D55</f>
        <v>380000</v>
      </c>
      <c r="D56" s="328">
        <v>500000</v>
      </c>
      <c r="E56" s="89">
        <v>0.5</v>
      </c>
      <c r="F56" s="329">
        <f>C56*E56%</f>
        <v>1900</v>
      </c>
      <c r="G56" s="329">
        <f>G55+F56</f>
        <v>165400</v>
      </c>
      <c r="I56" s="87" t="s">
        <v>242</v>
      </c>
      <c r="J56" s="90" t="s">
        <v>243</v>
      </c>
      <c r="K56" s="91" t="s">
        <v>244</v>
      </c>
      <c r="L56" s="91"/>
      <c r="M56" s="91"/>
      <c r="N56" s="87"/>
    </row>
    <row r="57" spans="2:12" ht="14.25">
      <c r="B57" s="335"/>
      <c r="C57" s="329">
        <f>D57-D56</f>
        <v>500000</v>
      </c>
      <c r="D57" s="328">
        <v>1000000</v>
      </c>
      <c r="E57" s="89">
        <v>0.4</v>
      </c>
      <c r="F57" s="329">
        <f>C57*E57%</f>
        <v>2000</v>
      </c>
      <c r="G57" s="329">
        <f>G56+F57</f>
        <v>167400</v>
      </c>
      <c r="J57" s="87" t="s">
        <v>245</v>
      </c>
      <c r="K57" s="336">
        <v>12000</v>
      </c>
      <c r="L57" s="337">
        <f>477.647058823529*C8</f>
        <v>11941.176470588225</v>
      </c>
    </row>
    <row r="58" spans="2:18" ht="14.25">
      <c r="B58" s="335"/>
      <c r="C58" s="329">
        <f>D58-D57</f>
        <v>1000000</v>
      </c>
      <c r="D58" s="328">
        <v>2000000</v>
      </c>
      <c r="E58" s="89">
        <v>0.3</v>
      </c>
      <c r="F58" s="329">
        <f>C58*E58%</f>
        <v>3000</v>
      </c>
      <c r="G58" s="329">
        <f>G57+F58</f>
        <v>170400</v>
      </c>
      <c r="I58" s="1">
        <v>176</v>
      </c>
      <c r="J58" s="87" t="s">
        <v>246</v>
      </c>
      <c r="K58" s="336">
        <f>ROUNDDOWN((88235.2941176471*C8),0)</f>
        <v>2205882</v>
      </c>
      <c r="L58" s="337">
        <f>88235.2941176471*C8</f>
        <v>2205882.352941178</v>
      </c>
      <c r="M58" s="338"/>
      <c r="N58" s="87"/>
      <c r="P58" s="338"/>
      <c r="R58" s="338"/>
    </row>
    <row r="59" spans="2:18" ht="14.25">
      <c r="B59" s="339"/>
      <c r="C59" s="329">
        <f>D59-D58</f>
        <v>2000000</v>
      </c>
      <c r="D59" s="328">
        <v>4000000</v>
      </c>
      <c r="E59" s="89">
        <v>0.2</v>
      </c>
      <c r="F59" s="329">
        <f>C59*E59%</f>
        <v>4000</v>
      </c>
      <c r="G59" s="329">
        <f>G58+F59</f>
        <v>174400</v>
      </c>
      <c r="I59" s="1">
        <v>176</v>
      </c>
      <c r="J59" s="87" t="s">
        <v>247</v>
      </c>
      <c r="K59" s="336">
        <f>ROUNDDOWN((102941.176470588*C8),0)</f>
        <v>2573529</v>
      </c>
      <c r="L59" s="337">
        <f>102941.176470588*C8</f>
        <v>2573529.4117647</v>
      </c>
      <c r="M59" s="338"/>
      <c r="N59" s="87"/>
      <c r="P59" s="338"/>
      <c r="R59" s="338"/>
    </row>
    <row r="60" spans="2:18" ht="14.25">
      <c r="B60" s="340"/>
      <c r="C60" s="329"/>
      <c r="D60" s="329"/>
      <c r="E60" s="89">
        <v>0.1</v>
      </c>
      <c r="F60" s="329"/>
      <c r="G60" s="329"/>
      <c r="I60" s="1">
        <v>176</v>
      </c>
      <c r="J60" s="87" t="s">
        <v>248</v>
      </c>
      <c r="K60" s="336">
        <f>ROUNDUP((117647.058823529*C8),0)</f>
        <v>2941177</v>
      </c>
      <c r="L60" s="337">
        <f>117647.058823529*C8</f>
        <v>2941176.470588225</v>
      </c>
      <c r="M60" s="338"/>
      <c r="N60" s="87"/>
      <c r="P60" s="338"/>
      <c r="R60" s="338"/>
    </row>
    <row r="61" spans="2:18" ht="14.25">
      <c r="B61" s="341" t="s">
        <v>249</v>
      </c>
      <c r="E61" s="341" t="s">
        <v>250</v>
      </c>
      <c r="F61" s="273"/>
      <c r="I61" s="1">
        <v>176</v>
      </c>
      <c r="J61" s="87" t="s">
        <v>251</v>
      </c>
      <c r="K61" s="336">
        <f>ROUNDUP((147058.823529412*C8),0)</f>
        <v>3676471</v>
      </c>
      <c r="L61" s="337">
        <f>147058.823529412*C8</f>
        <v>3676470.5882353</v>
      </c>
      <c r="M61" s="338"/>
      <c r="N61" s="87"/>
      <c r="P61" s="338"/>
      <c r="R61" s="338"/>
    </row>
    <row r="62" spans="2:18" ht="14.25">
      <c r="B62" s="342" t="s">
        <v>252</v>
      </c>
      <c r="C62" s="273">
        <f>C47</f>
        <v>163500</v>
      </c>
      <c r="E62" s="342" t="s">
        <v>252</v>
      </c>
      <c r="F62" s="273">
        <f>C48</f>
        <v>203958</v>
      </c>
      <c r="I62" s="1">
        <v>176</v>
      </c>
      <c r="J62" s="87" t="s">
        <v>253</v>
      </c>
      <c r="K62" s="336">
        <f>ROUNDUP((161764.705882353*C8),0)</f>
        <v>4044118</v>
      </c>
      <c r="L62" s="337">
        <f>161764.705882353*C8</f>
        <v>4044117.647058825</v>
      </c>
      <c r="M62" s="338"/>
      <c r="N62" s="87"/>
      <c r="P62" s="338"/>
      <c r="R62" s="338"/>
    </row>
    <row r="63" spans="2:18" ht="14.25">
      <c r="B63" s="342" t="s">
        <v>374</v>
      </c>
      <c r="C63" s="273">
        <f>ROUND(C62*1.5,0)</f>
        <v>245250</v>
      </c>
      <c r="E63" s="342" t="s">
        <v>374</v>
      </c>
      <c r="F63" s="273">
        <f>ROUND(F62*1.5,0)</f>
        <v>305937</v>
      </c>
      <c r="I63" s="1">
        <v>176</v>
      </c>
      <c r="J63" s="87" t="s">
        <v>254</v>
      </c>
      <c r="K63" s="336">
        <f>ROUNDUP((176470.588235294*C8),0)</f>
        <v>4411765</v>
      </c>
      <c r="L63" s="337">
        <f>176470.588235294*C8</f>
        <v>4411764.70588235</v>
      </c>
      <c r="M63" s="338"/>
      <c r="N63" s="87"/>
      <c r="P63" s="338"/>
      <c r="R63" s="338"/>
    </row>
    <row r="64" spans="2:18" ht="14.25">
      <c r="B64" s="342" t="s">
        <v>375</v>
      </c>
      <c r="C64" s="273">
        <f>ROUND(C63*1.2,0)</f>
        <v>294300</v>
      </c>
      <c r="E64" s="342" t="s">
        <v>375</v>
      </c>
      <c r="F64" s="273">
        <f>ROUND(F63*1.2,0)+1</f>
        <v>367125</v>
      </c>
      <c r="I64" s="1">
        <v>176</v>
      </c>
      <c r="J64" s="87" t="s">
        <v>255</v>
      </c>
      <c r="K64" s="336">
        <f>ROUNDUP((191176.470588235*C8),0)</f>
        <v>4779412</v>
      </c>
      <c r="L64" s="337">
        <f>191176.470588235*C8</f>
        <v>4779411.764705875</v>
      </c>
      <c r="M64" s="338"/>
      <c r="N64" s="87"/>
      <c r="P64" s="338"/>
      <c r="R64" s="338"/>
    </row>
    <row r="65" spans="2:18" ht="14.25">
      <c r="B65" s="342" t="s">
        <v>376</v>
      </c>
      <c r="C65" s="273">
        <f>ROUND(C64*1.2,0)</f>
        <v>353160</v>
      </c>
      <c r="E65" s="342" t="s">
        <v>376</v>
      </c>
      <c r="F65" s="273">
        <f>ROUND(F64*1.2,0)</f>
        <v>440550</v>
      </c>
      <c r="I65" s="1">
        <v>176</v>
      </c>
      <c r="J65" s="87" t="s">
        <v>256</v>
      </c>
      <c r="K65" s="336">
        <f>ROUNDUP((205882.352941176*C8),0)</f>
        <v>5147059</v>
      </c>
      <c r="L65" s="337">
        <f>205882.352941176*C8</f>
        <v>5147058.8235294</v>
      </c>
      <c r="M65" s="338"/>
      <c r="N65" s="87"/>
      <c r="P65" s="338"/>
      <c r="R65" s="338"/>
    </row>
    <row r="66" spans="2:18" ht="14.25">
      <c r="B66" s="342" t="s">
        <v>377</v>
      </c>
      <c r="C66" s="273">
        <f>ROUND(C65*1.2,0)</f>
        <v>423792</v>
      </c>
      <c r="E66" s="342" t="s">
        <v>377</v>
      </c>
      <c r="F66" s="273">
        <f>ROUND(F65*1.2,0)</f>
        <v>528660</v>
      </c>
      <c r="I66" s="1">
        <v>176</v>
      </c>
      <c r="J66" s="87" t="s">
        <v>257</v>
      </c>
      <c r="K66" s="336">
        <f>ROUNDUP((220588.235294118*C8),0)</f>
        <v>5514706</v>
      </c>
      <c r="L66" s="337">
        <f>220588.235294118*C8</f>
        <v>5514705.88235295</v>
      </c>
      <c r="M66" s="338"/>
      <c r="N66" s="87"/>
      <c r="P66" s="338"/>
      <c r="R66" s="338"/>
    </row>
    <row r="67" spans="2:18" ht="14.25">
      <c r="B67" s="342" t="s">
        <v>378</v>
      </c>
      <c r="C67" s="273">
        <f>ROUND(C66*1.15,0)</f>
        <v>487361</v>
      </c>
      <c r="E67" s="342" t="s">
        <v>378</v>
      </c>
      <c r="F67" s="273">
        <f>ROUND(F66*1.15,0)</f>
        <v>607959</v>
      </c>
      <c r="I67" s="1">
        <v>176</v>
      </c>
      <c r="J67" s="87" t="s">
        <v>258</v>
      </c>
      <c r="K67" s="336">
        <f>ROUNDUP((235294.117647059*C8),0)</f>
        <v>5882353</v>
      </c>
      <c r="L67" s="337">
        <f>235294.117647059*C8</f>
        <v>5882352.941176475</v>
      </c>
      <c r="M67" s="338"/>
      <c r="N67" s="87"/>
      <c r="P67" s="338"/>
      <c r="R67" s="338"/>
    </row>
    <row r="68" spans="2:18" ht="14.25">
      <c r="B68" s="342" t="s">
        <v>379</v>
      </c>
      <c r="C68" s="273">
        <f>ROUND(C67*1.1,0)</f>
        <v>536097</v>
      </c>
      <c r="E68" s="342" t="s">
        <v>379</v>
      </c>
      <c r="F68" s="273">
        <f>ROUND(F67*1.1,0)</f>
        <v>668755</v>
      </c>
      <c r="I68" s="1">
        <v>176</v>
      </c>
      <c r="J68" s="87" t="s">
        <v>259</v>
      </c>
      <c r="K68" s="336">
        <f>ROUNDUP((247058.823529412*C8),0)</f>
        <v>6176471</v>
      </c>
      <c r="L68" s="337">
        <f>247058.823529412*C8</f>
        <v>6176470.5882353</v>
      </c>
      <c r="M68" s="338"/>
      <c r="N68" s="87"/>
      <c r="P68" s="338"/>
      <c r="R68" s="338"/>
    </row>
    <row r="69" spans="2:18" ht="14.25">
      <c r="B69" s="342" t="s">
        <v>380</v>
      </c>
      <c r="C69" s="273">
        <f>ROUND(C68*1.05,0)</f>
        <v>562902</v>
      </c>
      <c r="E69" s="342" t="s">
        <v>380</v>
      </c>
      <c r="F69" s="273">
        <f>ROUND(F68*1.05,0)-1</f>
        <v>702192</v>
      </c>
      <c r="I69" s="1">
        <v>176</v>
      </c>
      <c r="J69" s="87" t="s">
        <v>260</v>
      </c>
      <c r="K69" s="336">
        <f>ROUNDDOWN((258823.529411765*C8),0)</f>
        <v>6470588</v>
      </c>
      <c r="L69" s="337">
        <f>258823.529411765*C8</f>
        <v>6470588.235294125</v>
      </c>
      <c r="M69" s="338"/>
      <c r="N69" s="87"/>
      <c r="P69" s="338"/>
      <c r="R69" s="338"/>
    </row>
    <row r="70" spans="2:18" ht="14.25">
      <c r="B70" s="342" t="s">
        <v>381</v>
      </c>
      <c r="C70" s="273">
        <f>ROUND(C69*1.05,0)</f>
        <v>591047</v>
      </c>
      <c r="E70" s="342" t="s">
        <v>381</v>
      </c>
      <c r="F70" s="273">
        <f>ROUND(F69*1.05,0)</f>
        <v>737302</v>
      </c>
      <c r="I70" s="1">
        <v>176</v>
      </c>
      <c r="J70" s="87" t="s">
        <v>261</v>
      </c>
      <c r="K70" s="336">
        <f>ROUNDDOWN((294117.647058824*C8),0)</f>
        <v>7352941</v>
      </c>
      <c r="L70" s="337">
        <f>294117.647058824*C8</f>
        <v>7352941.1764706</v>
      </c>
      <c r="M70" s="338"/>
      <c r="N70" s="87"/>
      <c r="P70" s="338"/>
      <c r="R70" s="338"/>
    </row>
    <row r="71" spans="2:6" ht="12.75">
      <c r="B71" s="342" t="s">
        <v>262</v>
      </c>
      <c r="C71" s="273">
        <f>ROUND(C70*1.05,0)</f>
        <v>620599</v>
      </c>
      <c r="E71" s="342" t="s">
        <v>262</v>
      </c>
      <c r="F71" s="273">
        <f>ROUND(F70*1.05,0)</f>
        <v>774167</v>
      </c>
    </row>
    <row r="72" ht="12.75">
      <c r="I72" s="87" t="s">
        <v>263</v>
      </c>
    </row>
    <row r="73" spans="10:18" ht="25.5">
      <c r="J73" s="87" t="s">
        <v>243</v>
      </c>
      <c r="L73" s="91" t="s">
        <v>244</v>
      </c>
      <c r="R73" s="92" t="s">
        <v>264</v>
      </c>
    </row>
    <row r="74" spans="2:19" ht="14.25">
      <c r="B74" s="93" t="s">
        <v>265</v>
      </c>
      <c r="J74" s="87" t="s">
        <v>266</v>
      </c>
      <c r="K74" s="1">
        <v>13.5</v>
      </c>
      <c r="L74" s="343">
        <f aca="true" t="shared" si="0" ref="L74:L79">477.647058823529*$C$8</f>
        <v>11941.176470588225</v>
      </c>
      <c r="M74" s="344">
        <v>12000</v>
      </c>
      <c r="N74" s="295">
        <f>K74*M74</f>
        <v>162000</v>
      </c>
      <c r="O74" s="88">
        <v>1</v>
      </c>
      <c r="P74" s="345">
        <v>1</v>
      </c>
      <c r="Q74" s="346">
        <v>15</v>
      </c>
      <c r="R74" s="347">
        <f>ROUNDDOWN(N74*80%,0)</f>
        <v>129600</v>
      </c>
      <c r="S74" s="295">
        <f>N74*80%</f>
        <v>129600</v>
      </c>
    </row>
    <row r="75" spans="2:19" ht="14.25">
      <c r="B75" s="1" t="s">
        <v>267</v>
      </c>
      <c r="C75" s="94">
        <f>2.5*C6</f>
        <v>312500</v>
      </c>
      <c r="J75" s="87" t="s">
        <v>268</v>
      </c>
      <c r="K75" s="1">
        <v>22.5</v>
      </c>
      <c r="L75" s="343">
        <f t="shared" si="0"/>
        <v>11941.176470588225</v>
      </c>
      <c r="M75" s="344">
        <v>12000</v>
      </c>
      <c r="N75" s="295">
        <f>K75*M75</f>
        <v>270000</v>
      </c>
      <c r="O75" s="88">
        <v>1</v>
      </c>
      <c r="P75" s="348">
        <v>16</v>
      </c>
      <c r="Q75" s="349">
        <v>50</v>
      </c>
      <c r="R75" s="347">
        <f>ROUNDUP(N75*78%,0)</f>
        <v>210600</v>
      </c>
      <c r="S75" s="295">
        <f>N75*78%</f>
        <v>210600</v>
      </c>
    </row>
    <row r="76" spans="2:19" ht="14.25">
      <c r="B76" s="1" t="s">
        <v>269</v>
      </c>
      <c r="J76" s="87" t="s">
        <v>270</v>
      </c>
      <c r="K76" s="1">
        <v>45</v>
      </c>
      <c r="L76" s="343">
        <f t="shared" si="0"/>
        <v>11941.176470588225</v>
      </c>
      <c r="M76" s="344">
        <v>12000</v>
      </c>
      <c r="N76" s="295">
        <f aca="true" t="shared" si="1" ref="N76:N90">K76*M76</f>
        <v>540000</v>
      </c>
      <c r="O76" s="88">
        <v>1</v>
      </c>
      <c r="P76" s="348">
        <v>51</v>
      </c>
      <c r="Q76" s="349">
        <v>100</v>
      </c>
      <c r="R76" s="347">
        <f>ROUNDUP(N76*76%,0)</f>
        <v>410400</v>
      </c>
      <c r="S76" s="295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7" t="s">
        <v>272</v>
      </c>
      <c r="K77" s="1">
        <v>67.5</v>
      </c>
      <c r="L77" s="343">
        <f t="shared" si="0"/>
        <v>11941.176470588225</v>
      </c>
      <c r="M77" s="344">
        <v>12000</v>
      </c>
      <c r="N77" s="295">
        <f t="shared" si="1"/>
        <v>810000</v>
      </c>
      <c r="O77" s="88">
        <v>1</v>
      </c>
      <c r="P77" s="348">
        <v>101</v>
      </c>
      <c r="Q77" s="349">
        <v>150</v>
      </c>
      <c r="R77" s="347">
        <f>ROUNDUP(N77*74%,0)</f>
        <v>599400</v>
      </c>
      <c r="S77" s="295">
        <f>N77*74%</f>
        <v>599400</v>
      </c>
    </row>
    <row r="78" spans="2:19" ht="14.25">
      <c r="B78" s="95">
        <f>1000000*C8</f>
        <v>25000000</v>
      </c>
      <c r="C78" s="1">
        <v>1.4</v>
      </c>
      <c r="D78" s="95">
        <f>B78*C78%</f>
        <v>349999.99999999994</v>
      </c>
      <c r="E78" s="95">
        <f>D78</f>
        <v>349999.99999999994</v>
      </c>
      <c r="J78" s="87" t="s">
        <v>273</v>
      </c>
      <c r="K78" s="1">
        <v>135</v>
      </c>
      <c r="L78" s="343">
        <f t="shared" si="0"/>
        <v>11941.176470588225</v>
      </c>
      <c r="M78" s="344">
        <v>12000</v>
      </c>
      <c r="N78" s="295">
        <f t="shared" si="1"/>
        <v>1620000</v>
      </c>
      <c r="O78" s="88">
        <v>1</v>
      </c>
      <c r="P78" s="350">
        <v>151</v>
      </c>
      <c r="Q78" s="351">
        <v>200</v>
      </c>
      <c r="R78" s="347">
        <f>ROUNDUP(N78*72%,0)</f>
        <v>1166400</v>
      </c>
      <c r="S78" s="295">
        <f>N78*72%</f>
        <v>1166400</v>
      </c>
    </row>
    <row r="79" spans="2:19" ht="14.25">
      <c r="B79" s="95">
        <f>5000000*C8</f>
        <v>125000000</v>
      </c>
      <c r="C79" s="1">
        <v>1.3</v>
      </c>
      <c r="D79" s="95">
        <f>(B79-B78)*C79%</f>
        <v>1300000</v>
      </c>
      <c r="E79" s="95">
        <f>E78+D79</f>
        <v>1650000</v>
      </c>
      <c r="J79" s="87" t="s">
        <v>274</v>
      </c>
      <c r="K79" s="1">
        <v>176</v>
      </c>
      <c r="L79" s="343">
        <f t="shared" si="0"/>
        <v>11941.176470588225</v>
      </c>
      <c r="M79" s="344">
        <v>12000</v>
      </c>
      <c r="N79" s="295">
        <f t="shared" si="1"/>
        <v>2112000</v>
      </c>
      <c r="O79" s="88">
        <v>1</v>
      </c>
      <c r="P79" s="352">
        <v>201</v>
      </c>
      <c r="Q79" s="353">
        <v>300</v>
      </c>
      <c r="R79" s="347">
        <f>ROUNDUP(N79*70%,0)</f>
        <v>1478400</v>
      </c>
      <c r="S79" s="295">
        <f>N79*70%</f>
        <v>1478400</v>
      </c>
    </row>
    <row r="80" spans="2:19" ht="14.25">
      <c r="B80" s="95">
        <f>10000000*C8</f>
        <v>250000000</v>
      </c>
      <c r="C80" s="1">
        <v>1.2</v>
      </c>
      <c r="D80" s="95">
        <f>(B80-B79)*C80%</f>
        <v>1500000</v>
      </c>
      <c r="E80" s="95">
        <f>E79+D80</f>
        <v>3150000</v>
      </c>
      <c r="J80" s="87" t="s">
        <v>275</v>
      </c>
      <c r="K80" s="1">
        <v>192</v>
      </c>
      <c r="L80" s="354">
        <f>581.851345189239*$C$8</f>
        <v>14546.283629730977</v>
      </c>
      <c r="M80" s="344">
        <v>14550</v>
      </c>
      <c r="N80" s="295">
        <f t="shared" si="1"/>
        <v>2793600</v>
      </c>
      <c r="O80" s="355">
        <f>Q80/P80</f>
        <v>1.3289036544850499</v>
      </c>
      <c r="P80" s="356">
        <v>301</v>
      </c>
      <c r="Q80" s="357">
        <v>400</v>
      </c>
      <c r="R80" s="347">
        <f>ROUNDUP(N80*68%,0)</f>
        <v>1899648</v>
      </c>
      <c r="S80" s="295">
        <f>N80*68%</f>
        <v>1899648.0000000002</v>
      </c>
    </row>
    <row r="81" spans="2:19" ht="14.25">
      <c r="B81" s="95">
        <f>30000000*C8</f>
        <v>750000000</v>
      </c>
      <c r="C81" s="1">
        <v>1.1</v>
      </c>
      <c r="D81" s="95">
        <f>(B81-B80)*C81%</f>
        <v>5500000.000000001</v>
      </c>
      <c r="E81" s="95">
        <f>E80+D81</f>
        <v>8650000</v>
      </c>
      <c r="J81" s="87" t="s">
        <v>251</v>
      </c>
      <c r="K81" s="1">
        <v>192</v>
      </c>
      <c r="L81" s="354">
        <f>725.500430410522*$C$8</f>
        <v>18137.51076026305</v>
      </c>
      <c r="M81" s="344">
        <v>18140</v>
      </c>
      <c r="N81" s="295">
        <f t="shared" si="1"/>
        <v>3482880</v>
      </c>
      <c r="O81" s="358">
        <f aca="true" t="shared" si="2" ref="O81:O90">Q81/P81</f>
        <v>1.2468827930174564</v>
      </c>
      <c r="P81" s="350">
        <v>401</v>
      </c>
      <c r="Q81" s="351">
        <v>500</v>
      </c>
      <c r="R81" s="347">
        <f>ROUNDUP(N81*66%,0)</f>
        <v>2298701</v>
      </c>
      <c r="S81" s="295">
        <f>N81*66%</f>
        <v>2298700.8000000003</v>
      </c>
    </row>
    <row r="82" spans="2:19" ht="14.25">
      <c r="B82" s="95">
        <f>100000000*C8</f>
        <v>2500000000</v>
      </c>
      <c r="C82" s="1">
        <v>1</v>
      </c>
      <c r="D82" s="95">
        <f>(B82-B81)*C82%</f>
        <v>17500000</v>
      </c>
      <c r="E82" s="95">
        <f>E81+D82</f>
        <v>26150000</v>
      </c>
      <c r="J82" s="87" t="s">
        <v>276</v>
      </c>
      <c r="K82" s="1">
        <v>192</v>
      </c>
      <c r="L82" s="354">
        <f>868.862790910805*$C$8</f>
        <v>21721.569772770123</v>
      </c>
      <c r="M82" s="344">
        <v>21722</v>
      </c>
      <c r="N82" s="295">
        <f t="shared" si="1"/>
        <v>4170624</v>
      </c>
      <c r="O82" s="358">
        <f t="shared" si="2"/>
        <v>1.1976047904191616</v>
      </c>
      <c r="P82" s="350">
        <v>501</v>
      </c>
      <c r="Q82" s="351">
        <v>600</v>
      </c>
      <c r="R82" s="347">
        <f>ROUNDDOWN(N82*64%,0)</f>
        <v>2669199</v>
      </c>
      <c r="S82" s="295">
        <f>N82*64%</f>
        <v>2669199.36</v>
      </c>
    </row>
    <row r="83" spans="3:19" ht="14.25">
      <c r="C83" s="1">
        <v>0.9</v>
      </c>
      <c r="J83" s="87" t="s">
        <v>277</v>
      </c>
      <c r="K83" s="1">
        <v>192</v>
      </c>
      <c r="L83" s="354">
        <f>1011.98661170976*$C$8</f>
        <v>25299.665292744</v>
      </c>
      <c r="M83" s="344">
        <v>25300</v>
      </c>
      <c r="N83" s="295">
        <f t="shared" si="1"/>
        <v>4857600</v>
      </c>
      <c r="O83" s="358">
        <f t="shared" si="2"/>
        <v>1.1647254575707155</v>
      </c>
      <c r="P83" s="350">
        <v>601</v>
      </c>
      <c r="Q83" s="351">
        <v>700</v>
      </c>
      <c r="R83" s="347">
        <f>ROUNDUP(N83*62%,0)</f>
        <v>3011712</v>
      </c>
      <c r="S83" s="295">
        <f>N83*62%</f>
        <v>3011712</v>
      </c>
    </row>
    <row r="84" spans="10:19" ht="14.25">
      <c r="J84" s="87" t="s">
        <v>278</v>
      </c>
      <c r="K84" s="1">
        <v>192</v>
      </c>
      <c r="L84" s="354">
        <f>1154.90626158032*$C$8</f>
        <v>28872.656539508</v>
      </c>
      <c r="M84" s="344">
        <v>28873</v>
      </c>
      <c r="N84" s="295">
        <f t="shared" si="1"/>
        <v>5543616</v>
      </c>
      <c r="O84" s="358">
        <f t="shared" si="2"/>
        <v>1.1412268188302426</v>
      </c>
      <c r="P84" s="350">
        <v>701</v>
      </c>
      <c r="Q84" s="351">
        <v>800</v>
      </c>
      <c r="R84" s="347">
        <f>ROUNDUP(N84*60%,0)</f>
        <v>3326170</v>
      </c>
      <c r="S84" s="295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7" t="s">
        <v>280</v>
      </c>
      <c r="K85" s="1">
        <v>192</v>
      </c>
      <c r="L85" s="354">
        <f>1297.64748492171*$C$8</f>
        <v>32441.18712304275</v>
      </c>
      <c r="M85" s="344">
        <v>32441</v>
      </c>
      <c r="N85" s="295">
        <f t="shared" si="1"/>
        <v>6228672</v>
      </c>
      <c r="O85" s="358">
        <f>Q85/P85</f>
        <v>1.1235955056179776</v>
      </c>
      <c r="P85" s="350">
        <v>801</v>
      </c>
      <c r="Q85" s="351">
        <v>900</v>
      </c>
      <c r="R85" s="347">
        <f>ROUNDUP(N85*58%,0)</f>
        <v>3612630</v>
      </c>
      <c r="S85" s="295">
        <f>N85*58%</f>
        <v>3612629.76</v>
      </c>
    </row>
    <row r="86" spans="2:19" ht="14.25">
      <c r="B86" s="95">
        <f>1000000*C8</f>
        <v>25000000</v>
      </c>
      <c r="C86" s="1">
        <v>1.7</v>
      </c>
      <c r="D86" s="95">
        <f>B86*C86%</f>
        <v>425000.00000000006</v>
      </c>
      <c r="E86" s="95">
        <f>D86</f>
        <v>425000.00000000006</v>
      </c>
      <c r="J86" s="87" t="s">
        <v>281</v>
      </c>
      <c r="K86" s="1">
        <v>192</v>
      </c>
      <c r="L86" s="354">
        <f>1440.23028293197*$C$8</f>
        <v>36005.757073299246</v>
      </c>
      <c r="M86" s="344">
        <v>36010</v>
      </c>
      <c r="N86" s="295">
        <f t="shared" si="1"/>
        <v>6913920</v>
      </c>
      <c r="O86" s="358">
        <f t="shared" si="2"/>
        <v>1.1098779134295227</v>
      </c>
      <c r="P86" s="350">
        <v>901</v>
      </c>
      <c r="Q86" s="351">
        <v>1000</v>
      </c>
      <c r="R86" s="347">
        <f>ROUNDDOWN(N86*56%,0)</f>
        <v>3871795</v>
      </c>
      <c r="S86" s="295">
        <f>N86*56%</f>
        <v>3871795.2</v>
      </c>
    </row>
    <row r="87" spans="2:19" ht="14.25">
      <c r="B87" s="95">
        <f>5000000*C8</f>
        <v>125000000</v>
      </c>
      <c r="C87" s="1">
        <v>1.6</v>
      </c>
      <c r="D87" s="95">
        <f>(B87-B86)*C87%</f>
        <v>1600000</v>
      </c>
      <c r="E87" s="95">
        <f>E86+D87</f>
        <v>2025000</v>
      </c>
      <c r="J87" s="87" t="s">
        <v>282</v>
      </c>
      <c r="K87" s="1">
        <v>192</v>
      </c>
      <c r="L87" s="354">
        <f>1798.48936430067*$C$8</f>
        <v>44962.23410751675</v>
      </c>
      <c r="M87" s="344">
        <v>44962</v>
      </c>
      <c r="N87" s="295">
        <f t="shared" si="1"/>
        <v>8632704</v>
      </c>
      <c r="O87" s="358">
        <f t="shared" si="2"/>
        <v>1.2487512487512487</v>
      </c>
      <c r="P87" s="350">
        <v>1001</v>
      </c>
      <c r="Q87" s="351">
        <v>1250</v>
      </c>
      <c r="R87" s="347">
        <f>ROUNDDOWN(N87*54%,0)</f>
        <v>4661660</v>
      </c>
      <c r="S87" s="295">
        <f>N87*54%</f>
        <v>4661660.16</v>
      </c>
    </row>
    <row r="88" spans="2:19" ht="14.25">
      <c r="B88" s="95">
        <f>10000000*C8</f>
        <v>250000000</v>
      </c>
      <c r="C88" s="1">
        <v>1.5</v>
      </c>
      <c r="D88" s="95">
        <f>(B88-B87)*C88%</f>
        <v>1875000</v>
      </c>
      <c r="E88" s="95">
        <f>E87+D88</f>
        <v>3900000</v>
      </c>
      <c r="J88" s="87" t="s">
        <v>283</v>
      </c>
      <c r="K88" s="1">
        <v>192</v>
      </c>
      <c r="L88" s="354">
        <f>2156.46206750679*$C$8</f>
        <v>53911.55168766975</v>
      </c>
      <c r="M88" s="344">
        <v>53912</v>
      </c>
      <c r="N88" s="295">
        <f t="shared" si="1"/>
        <v>10351104</v>
      </c>
      <c r="O88" s="358">
        <f t="shared" si="2"/>
        <v>1.1990407673860912</v>
      </c>
      <c r="P88" s="350">
        <v>1251</v>
      </c>
      <c r="Q88" s="351">
        <v>1500</v>
      </c>
      <c r="R88" s="347">
        <f>ROUNDDOWN(N88*52%,0)</f>
        <v>5382574</v>
      </c>
      <c r="S88" s="295">
        <f>N88*52%</f>
        <v>5382574.08</v>
      </c>
    </row>
    <row r="89" spans="2:19" ht="14.25">
      <c r="B89" s="95">
        <f>30000000*C8</f>
        <v>750000000</v>
      </c>
      <c r="C89" s="1">
        <v>1.4</v>
      </c>
      <c r="D89" s="95">
        <f>(B89-B88)*C89%</f>
        <v>6999999.999999999</v>
      </c>
      <c r="E89" s="95">
        <f>E88+D89</f>
        <v>10900000</v>
      </c>
      <c r="J89" s="87" t="s">
        <v>284</v>
      </c>
      <c r="K89" s="1">
        <v>192</v>
      </c>
      <c r="L89" s="354">
        <f>2873.36717855669*$C$8</f>
        <v>71834.17946391724</v>
      </c>
      <c r="M89" s="344">
        <v>71834</v>
      </c>
      <c r="N89" s="295">
        <f t="shared" si="1"/>
        <v>13792128</v>
      </c>
      <c r="O89" s="358">
        <f t="shared" si="2"/>
        <v>1.3324450366422385</v>
      </c>
      <c r="P89" s="350">
        <v>1501</v>
      </c>
      <c r="Q89" s="351">
        <v>2000</v>
      </c>
      <c r="R89" s="347">
        <f>ROUNDDOWN(N89*50%,0)</f>
        <v>6896064</v>
      </c>
      <c r="S89" s="295">
        <f>N89*50%</f>
        <v>6896064</v>
      </c>
    </row>
    <row r="90" spans="2:19" ht="14.25">
      <c r="B90" s="95">
        <f>100000000*C8</f>
        <v>2500000000</v>
      </c>
      <c r="C90" s="1">
        <v>1.3</v>
      </c>
      <c r="D90" s="95">
        <f>(B90-B89)*C90%</f>
        <v>22750000.000000004</v>
      </c>
      <c r="E90" s="95">
        <f>E89+D90</f>
        <v>33650000</v>
      </c>
      <c r="J90" s="87" t="s">
        <v>285</v>
      </c>
      <c r="K90" s="1">
        <v>192</v>
      </c>
      <c r="L90" s="359">
        <f>3589.91401618777*$C$8</f>
        <v>89747.85040469425</v>
      </c>
      <c r="M90" s="344">
        <v>89750</v>
      </c>
      <c r="N90" s="295">
        <f t="shared" si="1"/>
        <v>17232000</v>
      </c>
      <c r="O90" s="360">
        <f t="shared" si="2"/>
        <v>1.249375312343828</v>
      </c>
      <c r="P90" s="352">
        <v>2001</v>
      </c>
      <c r="Q90" s="353">
        <v>2500</v>
      </c>
      <c r="R90" s="347">
        <f>ROUNDDOWN(N90*48%,0)</f>
        <v>8271360</v>
      </c>
      <c r="S90" s="295">
        <f>N90*48%</f>
        <v>8271360</v>
      </c>
    </row>
    <row r="91" ht="12.75">
      <c r="C91" s="1">
        <v>1.2</v>
      </c>
    </row>
    <row r="93" spans="2:9" ht="12.75">
      <c r="B93" s="334" t="s">
        <v>286</v>
      </c>
      <c r="C93" s="323">
        <v>1000000</v>
      </c>
      <c r="D93" s="324">
        <f>C93</f>
        <v>1000000</v>
      </c>
      <c r="E93" s="361"/>
      <c r="F93" s="324">
        <f>C48</f>
        <v>203958</v>
      </c>
      <c r="G93" s="326">
        <f>F93</f>
        <v>203958</v>
      </c>
      <c r="I93" s="87" t="s">
        <v>382</v>
      </c>
    </row>
    <row r="94" spans="2:7" ht="12.75">
      <c r="B94" s="362"/>
      <c r="C94" s="317">
        <f>D94-D93</f>
        <v>4000000</v>
      </c>
      <c r="D94" s="328">
        <v>5000000</v>
      </c>
      <c r="E94" s="89">
        <v>0.4</v>
      </c>
      <c r="F94" s="329">
        <f>C94*E94%</f>
        <v>16000</v>
      </c>
      <c r="G94" s="330">
        <f>G93+F94</f>
        <v>219958</v>
      </c>
    </row>
    <row r="95" spans="2:14" ht="12.75">
      <c r="B95" s="362"/>
      <c r="C95" s="317">
        <f>D95-D94</f>
        <v>10000000</v>
      </c>
      <c r="D95" s="328">
        <v>15000000</v>
      </c>
      <c r="E95" s="89">
        <v>0.3</v>
      </c>
      <c r="F95" s="329">
        <f>C95*E95%</f>
        <v>30000</v>
      </c>
      <c r="G95" s="330">
        <f>G94+F95</f>
        <v>249958</v>
      </c>
      <c r="L95" s="87" t="s">
        <v>10</v>
      </c>
      <c r="M95" s="87" t="s">
        <v>8</v>
      </c>
      <c r="N95" s="87" t="s">
        <v>9</v>
      </c>
    </row>
    <row r="96" spans="2:14" ht="12.75">
      <c r="B96" s="362"/>
      <c r="C96" s="317">
        <f>D96-D95</f>
        <v>25000000</v>
      </c>
      <c r="D96" s="328">
        <v>40000000</v>
      </c>
      <c r="E96" s="89">
        <v>0.2</v>
      </c>
      <c r="F96" s="329">
        <f>C96*E96%</f>
        <v>50000</v>
      </c>
      <c r="G96" s="330">
        <f>G95+F96</f>
        <v>299958</v>
      </c>
      <c r="J96" s="95">
        <f>100000*C8</f>
        <v>2500000</v>
      </c>
      <c r="K96" s="95">
        <f>J96</f>
        <v>2500000</v>
      </c>
      <c r="L96" s="1">
        <v>10</v>
      </c>
      <c r="M96" s="95">
        <f>J96*L96%</f>
        <v>250000</v>
      </c>
      <c r="N96" s="95">
        <f>M96</f>
        <v>250000</v>
      </c>
    </row>
    <row r="97" spans="2:14" ht="12.75">
      <c r="B97" s="363"/>
      <c r="C97" s="364" t="s">
        <v>287</v>
      </c>
      <c r="D97" s="365"/>
      <c r="E97" s="332">
        <v>0.1</v>
      </c>
      <c r="F97" s="366"/>
      <c r="G97" s="367"/>
      <c r="J97" s="95">
        <f aca="true" t="shared" si="3" ref="J97:J105">K97-K96</f>
        <v>2500000</v>
      </c>
      <c r="K97" s="95">
        <f>200000*C8</f>
        <v>5000000</v>
      </c>
      <c r="L97" s="1">
        <v>9</v>
      </c>
      <c r="M97" s="95">
        <f aca="true" t="shared" si="4" ref="M97:M105">J97*L97%</f>
        <v>225000</v>
      </c>
      <c r="N97" s="95">
        <f>N96+M97</f>
        <v>475000</v>
      </c>
    </row>
    <row r="98" spans="10:14" ht="12.75">
      <c r="J98" s="95">
        <f t="shared" si="3"/>
        <v>7500000</v>
      </c>
      <c r="K98" s="95">
        <f>500000*C8</f>
        <v>12500000</v>
      </c>
      <c r="L98" s="1">
        <v>8</v>
      </c>
      <c r="M98" s="95">
        <f t="shared" si="4"/>
        <v>600000</v>
      </c>
      <c r="N98" s="95">
        <f aca="true" t="shared" si="5" ref="N98:N105">N97+M98</f>
        <v>1075000</v>
      </c>
    </row>
    <row r="99" spans="10:14" ht="12.75">
      <c r="J99" s="95">
        <f t="shared" si="3"/>
        <v>12500000</v>
      </c>
      <c r="K99" s="95">
        <f>1000000*C8</f>
        <v>25000000</v>
      </c>
      <c r="L99" s="1">
        <v>7</v>
      </c>
      <c r="M99" s="95">
        <f t="shared" si="4"/>
        <v>875000.0000000001</v>
      </c>
      <c r="N99" s="95">
        <f t="shared" si="5"/>
        <v>1950000</v>
      </c>
    </row>
    <row r="100" spans="2:14" ht="12.75">
      <c r="B100" s="87" t="s">
        <v>288</v>
      </c>
      <c r="J100" s="95">
        <f t="shared" si="3"/>
        <v>25000000</v>
      </c>
      <c r="K100" s="95">
        <f>2000000*C8</f>
        <v>50000000</v>
      </c>
      <c r="L100" s="1">
        <v>6</v>
      </c>
      <c r="M100" s="95">
        <f t="shared" si="4"/>
        <v>1500000</v>
      </c>
      <c r="N100" s="95">
        <f t="shared" si="5"/>
        <v>3450000</v>
      </c>
    </row>
    <row r="101" spans="3:14" ht="12.75">
      <c r="C101" s="87" t="s">
        <v>289</v>
      </c>
      <c r="D101" s="87" t="s">
        <v>290</v>
      </c>
      <c r="E101" s="87" t="s">
        <v>291</v>
      </c>
      <c r="F101" s="87" t="s">
        <v>292</v>
      </c>
      <c r="G101" s="87" t="s">
        <v>18</v>
      </c>
      <c r="J101" s="95">
        <f t="shared" si="3"/>
        <v>75000000</v>
      </c>
      <c r="K101" s="95">
        <f>5000000*C8</f>
        <v>125000000</v>
      </c>
      <c r="L101" s="1">
        <v>5</v>
      </c>
      <c r="M101" s="95">
        <f t="shared" si="4"/>
        <v>3750000</v>
      </c>
      <c r="N101" s="95">
        <f t="shared" si="5"/>
        <v>7200000</v>
      </c>
    </row>
    <row r="102" spans="1:14" ht="12.75">
      <c r="A102" s="87" t="s">
        <v>293</v>
      </c>
      <c r="B102" s="261">
        <v>476766</v>
      </c>
      <c r="C102" s="1">
        <v>1</v>
      </c>
      <c r="E102" s="27">
        <f>B102</f>
        <v>476766</v>
      </c>
      <c r="F102" s="89">
        <v>4</v>
      </c>
      <c r="G102" s="96">
        <f>B104</f>
        <v>508748.4355608199</v>
      </c>
      <c r="J102" s="95">
        <f t="shared" si="3"/>
        <v>125000000</v>
      </c>
      <c r="K102" s="95">
        <f>10000000*C8</f>
        <v>250000000</v>
      </c>
      <c r="L102" s="1">
        <v>4</v>
      </c>
      <c r="M102" s="95">
        <f t="shared" si="4"/>
        <v>5000000</v>
      </c>
      <c r="N102" s="95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9">
        <v>4</v>
      </c>
      <c r="G103" s="96">
        <f>E103+((E103/2)*(4-1)*0.1)/(5^(1/2))</f>
        <v>661372.966229066</v>
      </c>
      <c r="J103" s="95">
        <f t="shared" si="3"/>
        <v>250000000</v>
      </c>
      <c r="K103" s="95">
        <f>20000000*C8</f>
        <v>500000000</v>
      </c>
      <c r="L103" s="1">
        <v>3</v>
      </c>
      <c r="M103" s="95">
        <f t="shared" si="4"/>
        <v>7500000</v>
      </c>
      <c r="N103" s="95">
        <f t="shared" si="5"/>
        <v>19700000</v>
      </c>
    </row>
    <row r="104" spans="1:14" ht="12.75">
      <c r="A104" s="87" t="s">
        <v>18</v>
      </c>
      <c r="B104" s="96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9">
        <v>4</v>
      </c>
      <c r="G104" s="96">
        <f aca="true" t="shared" si="6" ref="G104:G123">E104+((E104/2)*(4-1)*0.1)/(5^(1/2))</f>
        <v>859784.8560977858</v>
      </c>
      <c r="J104" s="95">
        <f t="shared" si="3"/>
        <v>500000000</v>
      </c>
      <c r="K104" s="95">
        <f>40000000*C8</f>
        <v>1000000000</v>
      </c>
      <c r="L104" s="1">
        <v>2</v>
      </c>
      <c r="M104" s="95">
        <f t="shared" si="4"/>
        <v>10000000</v>
      </c>
      <c r="N104" s="95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9">
        <v>4</v>
      </c>
      <c r="G105" s="96">
        <f t="shared" si="6"/>
        <v>1074731.0701222322</v>
      </c>
      <c r="J105" s="95">
        <f t="shared" si="3"/>
        <v>1000000000</v>
      </c>
      <c r="K105" s="95">
        <f>80000000*C8</f>
        <v>2000000000</v>
      </c>
      <c r="L105" s="1">
        <v>1</v>
      </c>
      <c r="M105" s="95">
        <f t="shared" si="4"/>
        <v>10000000</v>
      </c>
      <c r="N105" s="95">
        <f t="shared" si="5"/>
        <v>39700000</v>
      </c>
    </row>
    <row r="106" spans="2:12" ht="12.75">
      <c r="B106" s="95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9">
        <v>4</v>
      </c>
      <c r="G106" s="96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9">
        <v>4</v>
      </c>
      <c r="G107" s="96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9">
        <v>4</v>
      </c>
      <c r="G108" s="96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9">
        <v>4</v>
      </c>
      <c r="G109" s="96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9">
        <v>4</v>
      </c>
      <c r="G110" s="96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9">
        <v>4</v>
      </c>
      <c r="G111" s="96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9">
        <v>4</v>
      </c>
      <c r="G112" s="96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9">
        <v>4</v>
      </c>
      <c r="G113" s="96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9">
        <v>4</v>
      </c>
      <c r="G114" s="96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9">
        <v>4</v>
      </c>
      <c r="G115" s="96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9">
        <v>4</v>
      </c>
      <c r="G116" s="96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9">
        <v>4</v>
      </c>
      <c r="G117" s="96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9">
        <v>4</v>
      </c>
      <c r="G118" s="96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9">
        <v>4</v>
      </c>
      <c r="G119" s="96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9">
        <v>4</v>
      </c>
      <c r="G120" s="96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9">
        <v>4</v>
      </c>
      <c r="G121" s="96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9">
        <v>4</v>
      </c>
      <c r="G122" s="96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9">
        <v>4</v>
      </c>
      <c r="G123" s="96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7"/>
      <c r="F1" s="98"/>
      <c r="G1" s="98"/>
      <c r="H1" s="17"/>
      <c r="U1" s="97"/>
    </row>
    <row r="2" spans="2:42" s="99" customFormat="1" ht="15.75" customHeight="1">
      <c r="B2" s="100" t="s">
        <v>294</v>
      </c>
      <c r="D2" s="87" t="s">
        <v>295</v>
      </c>
      <c r="E2" s="101">
        <f>+x!C7</f>
        <v>1</v>
      </c>
      <c r="F2" s="98"/>
      <c r="G2" s="100" t="s">
        <v>296</v>
      </c>
      <c r="H2" s="102"/>
      <c r="J2" s="100"/>
      <c r="K2" s="100"/>
      <c r="AO2" s="17"/>
      <c r="AP2" s="17"/>
    </row>
    <row r="3" spans="2:42" s="99" customFormat="1" ht="15.75" customHeight="1">
      <c r="B3" s="87" t="s">
        <v>297</v>
      </c>
      <c r="F3" s="103"/>
      <c r="G3" s="104" t="s">
        <v>298</v>
      </c>
      <c r="H3" s="102"/>
      <c r="J3" s="100"/>
      <c r="K3" s="100"/>
      <c r="Q3" s="105"/>
      <c r="R3" s="105"/>
      <c r="S3" s="105"/>
      <c r="T3" s="105"/>
      <c r="U3" s="105"/>
      <c r="V3" s="105"/>
      <c r="AO3" s="106"/>
      <c r="AP3" s="106"/>
    </row>
    <row r="4" spans="14:42" ht="7.5" customHeight="1">
      <c r="N4" s="107"/>
      <c r="U4" s="17"/>
      <c r="V4" s="17"/>
      <c r="W4" s="17"/>
      <c r="X4" s="17"/>
      <c r="AO4" s="106"/>
      <c r="AP4" s="106"/>
    </row>
    <row r="5" spans="1:24" ht="12.75" customHeight="1">
      <c r="A5" s="108"/>
      <c r="B5" s="109" t="s">
        <v>299</v>
      </c>
      <c r="C5" s="109" t="s">
        <v>300</v>
      </c>
      <c r="D5" s="110"/>
      <c r="E5" s="110"/>
      <c r="F5" s="110"/>
      <c r="G5" s="109" t="s">
        <v>299</v>
      </c>
      <c r="H5" s="109" t="s">
        <v>300</v>
      </c>
      <c r="I5" s="108"/>
      <c r="J5" s="108"/>
      <c r="K5" s="108"/>
      <c r="L5" s="106"/>
      <c r="M5" s="106"/>
      <c r="N5" s="11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42" ht="12.75" customHeight="1">
      <c r="A6" s="108"/>
      <c r="B6" s="112">
        <v>0</v>
      </c>
      <c r="C6" s="109"/>
      <c r="D6" s="110"/>
      <c r="E6" s="110"/>
      <c r="G6" s="42">
        <v>0</v>
      </c>
      <c r="H6" s="41"/>
      <c r="I6" s="108"/>
      <c r="J6" s="108"/>
      <c r="K6" s="108"/>
      <c r="L6" s="106"/>
      <c r="M6" s="106"/>
      <c r="N6" s="111"/>
      <c r="O6" s="106"/>
      <c r="P6" s="106"/>
      <c r="Q6" s="106"/>
      <c r="R6" s="113"/>
      <c r="S6" s="106"/>
      <c r="T6" s="106"/>
      <c r="U6" s="106"/>
      <c r="V6" s="106"/>
      <c r="W6" s="106"/>
      <c r="X6" s="106"/>
      <c r="AO6" s="18"/>
      <c r="AP6" s="18"/>
    </row>
    <row r="7" spans="1:42" ht="12.75" customHeight="1">
      <c r="A7" s="108"/>
      <c r="B7" s="109">
        <v>1</v>
      </c>
      <c r="C7" s="114">
        <f>750*E2</f>
        <v>750</v>
      </c>
      <c r="D7" s="108"/>
      <c r="E7" s="108"/>
      <c r="F7" s="110"/>
      <c r="G7" s="109">
        <v>1</v>
      </c>
      <c r="H7" s="114">
        <f>2500*E2</f>
        <v>2500</v>
      </c>
      <c r="I7" s="108"/>
      <c r="J7" s="108"/>
      <c r="K7" s="108"/>
      <c r="N7" s="107"/>
      <c r="AO7" s="17"/>
      <c r="AP7" s="17"/>
    </row>
    <row r="8" spans="1:42" ht="12.75" customHeight="1">
      <c r="A8" s="108"/>
      <c r="B8" s="109">
        <v>2</v>
      </c>
      <c r="C8" s="114">
        <f>1500*E2</f>
        <v>1500</v>
      </c>
      <c r="D8" s="108"/>
      <c r="E8" s="108"/>
      <c r="F8" s="108"/>
      <c r="G8" s="109">
        <v>2</v>
      </c>
      <c r="H8" s="114">
        <f>5000*E2</f>
        <v>5000</v>
      </c>
      <c r="I8" s="110"/>
      <c r="J8" s="110"/>
      <c r="K8" s="11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8"/>
      <c r="B9" s="109">
        <v>3</v>
      </c>
      <c r="C9" s="114">
        <f>2250*E2</f>
        <v>2250</v>
      </c>
      <c r="D9" s="108"/>
      <c r="E9" s="108"/>
      <c r="F9" s="108"/>
      <c r="G9" s="109">
        <v>3</v>
      </c>
      <c r="H9" s="114">
        <f>6900*E2</f>
        <v>6900</v>
      </c>
      <c r="I9" s="115"/>
      <c r="J9" s="115"/>
      <c r="K9" s="1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8"/>
      <c r="B10" s="109">
        <v>4</v>
      </c>
      <c r="C10" s="114">
        <f>3000*E2</f>
        <v>3000</v>
      </c>
      <c r="D10" s="108"/>
      <c r="E10" s="108"/>
      <c r="F10" s="108"/>
      <c r="G10" s="109">
        <v>4</v>
      </c>
      <c r="H10" s="114">
        <f>8800*E2</f>
        <v>8800</v>
      </c>
      <c r="I10" s="115"/>
      <c r="J10" s="115"/>
      <c r="K10" s="1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8"/>
      <c r="B11" s="109">
        <v>5</v>
      </c>
      <c r="C11" s="116">
        <f>3500*E2</f>
        <v>3500</v>
      </c>
      <c r="D11" s="108"/>
      <c r="E11" s="108"/>
      <c r="F11" s="108"/>
      <c r="G11" s="109">
        <v>5</v>
      </c>
      <c r="H11" s="114">
        <f>10700*E2</f>
        <v>10700</v>
      </c>
      <c r="I11" s="108"/>
      <c r="J11" s="108"/>
      <c r="K11" s="108"/>
      <c r="AO11" s="17"/>
      <c r="AP11" s="17"/>
    </row>
    <row r="12" spans="1:42" ht="12.75" customHeight="1">
      <c r="A12" s="108"/>
      <c r="B12" s="109">
        <v>6</v>
      </c>
      <c r="C12" s="114">
        <f>4000*E2</f>
        <v>4000</v>
      </c>
      <c r="D12" s="108"/>
      <c r="E12" s="108"/>
      <c r="F12" s="108"/>
      <c r="G12" s="109">
        <v>6</v>
      </c>
      <c r="H12" s="114">
        <f>12600*E2</f>
        <v>12600</v>
      </c>
      <c r="I12" s="108"/>
      <c r="J12" s="108"/>
      <c r="K12" s="108"/>
      <c r="AO12" s="17"/>
      <c r="AP12" s="17"/>
    </row>
    <row r="13" spans="1:11" ht="12.75" customHeight="1">
      <c r="A13" s="108"/>
      <c r="B13" s="109">
        <v>7</v>
      </c>
      <c r="C13" s="114">
        <f>4500*E2</f>
        <v>4500</v>
      </c>
      <c r="D13" s="108"/>
      <c r="E13" s="108"/>
      <c r="F13" s="108"/>
      <c r="G13" s="109">
        <v>7</v>
      </c>
      <c r="H13" s="114">
        <f>14500*E2</f>
        <v>14500</v>
      </c>
      <c r="I13" s="108"/>
      <c r="J13" s="108"/>
      <c r="K13" s="108"/>
    </row>
    <row r="14" spans="1:11" ht="12.75" customHeight="1">
      <c r="A14" s="108"/>
      <c r="B14" s="109">
        <v>8</v>
      </c>
      <c r="C14" s="114">
        <f>5000*E2</f>
        <v>5000</v>
      </c>
      <c r="D14" s="108"/>
      <c r="E14" s="108"/>
      <c r="F14" s="108"/>
      <c r="G14" s="109">
        <v>8</v>
      </c>
      <c r="H14" s="114">
        <f>16400*E2</f>
        <v>16400</v>
      </c>
      <c r="I14" s="108"/>
      <c r="J14" s="108"/>
      <c r="K14" s="108"/>
    </row>
    <row r="15" spans="1:22" ht="12.75" customHeight="1">
      <c r="A15" s="108"/>
      <c r="B15" s="109">
        <v>9</v>
      </c>
      <c r="C15" s="114">
        <f>5500*E2</f>
        <v>5500</v>
      </c>
      <c r="D15" s="108"/>
      <c r="E15" s="108"/>
      <c r="F15" s="108"/>
      <c r="G15" s="109">
        <v>9</v>
      </c>
      <c r="H15" s="114">
        <f>17800*E2</f>
        <v>17800</v>
      </c>
      <c r="I15" s="108"/>
      <c r="J15" s="108"/>
      <c r="K15" s="108"/>
      <c r="N15" s="107"/>
      <c r="U15" s="17"/>
      <c r="V15" s="17"/>
    </row>
    <row r="16" spans="1:22" ht="12.75" customHeight="1">
      <c r="A16" s="108"/>
      <c r="B16" s="109">
        <v>10</v>
      </c>
      <c r="C16" s="116">
        <f>6000*E2</f>
        <v>6000</v>
      </c>
      <c r="D16" s="108"/>
      <c r="E16" s="108"/>
      <c r="F16" s="108"/>
      <c r="G16" s="109">
        <v>10</v>
      </c>
      <c r="H16" s="114">
        <f>19200*E2</f>
        <v>19200</v>
      </c>
      <c r="I16" s="117"/>
      <c r="J16" s="108"/>
      <c r="K16" s="108"/>
      <c r="N16" s="107"/>
      <c r="U16" s="17"/>
      <c r="V16" s="17"/>
    </row>
    <row r="17" spans="1:14" ht="12.75" customHeight="1">
      <c r="A17" s="108"/>
      <c r="B17" s="109">
        <v>11</v>
      </c>
      <c r="C17" s="114">
        <f>6300*E2</f>
        <v>6300</v>
      </c>
      <c r="D17" s="108"/>
      <c r="E17" s="108"/>
      <c r="F17" s="108"/>
      <c r="G17" s="109">
        <v>11</v>
      </c>
      <c r="H17" s="114">
        <f>20600*E2</f>
        <v>20600</v>
      </c>
      <c r="I17" s="108"/>
      <c r="J17" s="108"/>
      <c r="K17" s="108"/>
      <c r="N17" s="107"/>
    </row>
    <row r="18" spans="1:14" ht="12.75" customHeight="1">
      <c r="A18" s="108"/>
      <c r="B18" s="109">
        <v>12</v>
      </c>
      <c r="C18" s="114">
        <f>6600*E2</f>
        <v>6600</v>
      </c>
      <c r="D18" s="108"/>
      <c r="E18" s="108"/>
      <c r="F18" s="108"/>
      <c r="G18" s="109">
        <v>12</v>
      </c>
      <c r="H18" s="114">
        <f>22200*E2</f>
        <v>22200</v>
      </c>
      <c r="I18" s="108"/>
      <c r="J18" s="108"/>
      <c r="K18" s="108"/>
      <c r="N18" s="107"/>
    </row>
    <row r="19" spans="1:21" ht="12.75" customHeight="1">
      <c r="A19" s="108"/>
      <c r="B19" s="109">
        <v>13</v>
      </c>
      <c r="C19" s="114">
        <f>6900*E2</f>
        <v>6900</v>
      </c>
      <c r="D19" s="108"/>
      <c r="E19" s="108"/>
      <c r="F19" s="108"/>
      <c r="G19" s="109">
        <v>13</v>
      </c>
      <c r="H19" s="114">
        <f>23400*E2</f>
        <v>23400</v>
      </c>
      <c r="I19" s="108"/>
      <c r="J19" s="108"/>
      <c r="K19" s="108"/>
      <c r="T19" s="17"/>
      <c r="U19" s="17"/>
    </row>
    <row r="20" spans="1:21" ht="12.75" customHeight="1">
      <c r="A20" s="108"/>
      <c r="B20" s="109">
        <v>14</v>
      </c>
      <c r="C20" s="114">
        <f>7200*E2</f>
        <v>7200</v>
      </c>
      <c r="D20" s="108"/>
      <c r="E20" s="108"/>
      <c r="F20" s="108"/>
      <c r="G20" s="109">
        <v>14</v>
      </c>
      <c r="H20" s="114">
        <f>24800*E2</f>
        <v>24800</v>
      </c>
      <c r="I20" s="108"/>
      <c r="J20" s="108"/>
      <c r="K20" s="108"/>
      <c r="T20" s="17"/>
      <c r="U20" s="17"/>
    </row>
    <row r="21" spans="1:21" ht="12.75" customHeight="1">
      <c r="A21" s="108"/>
      <c r="B21" s="109">
        <v>15</v>
      </c>
      <c r="C21" s="116">
        <f>7500*E2</f>
        <v>7500</v>
      </c>
      <c r="D21" s="108"/>
      <c r="E21" s="108"/>
      <c r="F21" s="108"/>
      <c r="G21" s="109">
        <v>15</v>
      </c>
      <c r="H21" s="114">
        <f>26200*E2</f>
        <v>26200</v>
      </c>
      <c r="I21" s="108"/>
      <c r="J21" s="108"/>
      <c r="K21" s="108"/>
      <c r="T21" s="17"/>
      <c r="U21" s="17"/>
    </row>
    <row r="22" spans="1:21" ht="12.75" customHeight="1">
      <c r="A22" s="108"/>
      <c r="B22" s="109">
        <v>16</v>
      </c>
      <c r="C22" s="114">
        <f>7800*E2</f>
        <v>7800</v>
      </c>
      <c r="D22" s="108"/>
      <c r="E22" s="108"/>
      <c r="F22" s="108"/>
      <c r="G22" s="109">
        <v>16</v>
      </c>
      <c r="H22" s="114">
        <f>27600*E2</f>
        <v>27600</v>
      </c>
      <c r="I22" s="108"/>
      <c r="J22" s="108"/>
      <c r="K22" s="108"/>
      <c r="T22" s="17"/>
      <c r="U22" s="17"/>
    </row>
    <row r="23" spans="1:21" ht="12.75" customHeight="1">
      <c r="A23" s="108"/>
      <c r="B23" s="109">
        <v>17</v>
      </c>
      <c r="C23" s="114">
        <f>8100*E2</f>
        <v>8100</v>
      </c>
      <c r="D23" s="108"/>
      <c r="E23" s="108"/>
      <c r="F23" s="108"/>
      <c r="G23" s="109">
        <v>17</v>
      </c>
      <c r="H23" s="114">
        <f>29000*E2</f>
        <v>29000</v>
      </c>
      <c r="I23" s="108"/>
      <c r="J23" s="108"/>
      <c r="K23" s="108"/>
      <c r="T23" s="17"/>
      <c r="U23" s="17"/>
    </row>
    <row r="24" spans="1:21" ht="12.75" customHeight="1">
      <c r="A24" s="108"/>
      <c r="B24" s="109">
        <v>18</v>
      </c>
      <c r="C24" s="114">
        <f>8400*E2</f>
        <v>8400</v>
      </c>
      <c r="D24" s="108"/>
      <c r="E24" s="108"/>
      <c r="F24" s="108"/>
      <c r="G24" s="109">
        <v>18</v>
      </c>
      <c r="H24" s="114">
        <f>30400*E2</f>
        <v>30400</v>
      </c>
      <c r="I24" s="108"/>
      <c r="J24" s="108"/>
      <c r="K24" s="108"/>
      <c r="T24" s="17"/>
      <c r="U24" s="17"/>
    </row>
    <row r="25" spans="1:21" ht="12.75" customHeight="1">
      <c r="A25" s="108"/>
      <c r="B25" s="109">
        <v>19</v>
      </c>
      <c r="C25" s="114">
        <f>8700*E2</f>
        <v>8700</v>
      </c>
      <c r="D25" s="108"/>
      <c r="E25" s="108"/>
      <c r="F25" s="108"/>
      <c r="G25" s="109">
        <v>19</v>
      </c>
      <c r="H25" s="114">
        <f>31800*E2</f>
        <v>31800</v>
      </c>
      <c r="I25" s="108"/>
      <c r="J25" s="108"/>
      <c r="K25" s="108"/>
      <c r="T25" s="17"/>
      <c r="U25" s="17"/>
    </row>
    <row r="26" spans="1:21" ht="12.75" customHeight="1">
      <c r="A26" s="108"/>
      <c r="B26" s="109">
        <v>20</v>
      </c>
      <c r="C26" s="116">
        <f>9000*E2</f>
        <v>9000</v>
      </c>
      <c r="D26" s="108"/>
      <c r="E26" s="108"/>
      <c r="F26" s="108"/>
      <c r="G26" s="109">
        <v>20</v>
      </c>
      <c r="H26" s="114">
        <f>33200*E2</f>
        <v>33200</v>
      </c>
      <c r="I26" s="108"/>
      <c r="J26" s="108"/>
      <c r="K26" s="108"/>
      <c r="T26" s="17"/>
      <c r="U26" s="17"/>
    </row>
    <row r="27" spans="1:21" ht="12.75" customHeight="1">
      <c r="A27" s="108"/>
      <c r="B27" s="109">
        <v>21</v>
      </c>
      <c r="C27" s="114">
        <f>9300*E2</f>
        <v>9300</v>
      </c>
      <c r="D27" s="108"/>
      <c r="E27" s="108"/>
      <c r="F27" s="108"/>
      <c r="G27" s="109">
        <v>21</v>
      </c>
      <c r="H27" s="114">
        <f>34200*E2</f>
        <v>34200</v>
      </c>
      <c r="I27" s="108"/>
      <c r="J27" s="108"/>
      <c r="K27" s="108"/>
      <c r="T27" s="17"/>
      <c r="U27" s="17"/>
    </row>
    <row r="28" spans="1:21" ht="12.75" customHeight="1">
      <c r="A28" s="108"/>
      <c r="B28" s="109">
        <v>22</v>
      </c>
      <c r="C28" s="114">
        <f>9600*E2</f>
        <v>9600</v>
      </c>
      <c r="D28" s="108"/>
      <c r="E28" s="108"/>
      <c r="F28" s="108"/>
      <c r="G28" s="109">
        <v>22</v>
      </c>
      <c r="H28" s="114">
        <f>35200*E2</f>
        <v>35200</v>
      </c>
      <c r="I28" s="108"/>
      <c r="J28" s="108"/>
      <c r="K28" s="108"/>
      <c r="T28" s="17"/>
      <c r="U28" s="17"/>
    </row>
    <row r="29" spans="1:21" ht="12.75" customHeight="1">
      <c r="A29" s="108"/>
      <c r="B29" s="109">
        <v>23</v>
      </c>
      <c r="C29" s="114">
        <f>9900*E2</f>
        <v>9900</v>
      </c>
      <c r="D29" s="108"/>
      <c r="E29" s="108"/>
      <c r="F29" s="108"/>
      <c r="G29" s="109">
        <v>23</v>
      </c>
      <c r="H29" s="114">
        <f>36200*E2</f>
        <v>36200</v>
      </c>
      <c r="I29" s="108"/>
      <c r="J29" s="108"/>
      <c r="K29" s="108"/>
      <c r="T29" s="17"/>
      <c r="U29" s="17"/>
    </row>
    <row r="30" spans="1:21" ht="12.75" customHeight="1">
      <c r="A30" s="108"/>
      <c r="B30" s="109">
        <v>24</v>
      </c>
      <c r="C30" s="114">
        <f>10200*E2</f>
        <v>10200</v>
      </c>
      <c r="D30" s="108"/>
      <c r="E30" s="108"/>
      <c r="F30" s="108"/>
      <c r="G30" s="109">
        <v>24</v>
      </c>
      <c r="H30" s="114">
        <f>37200*E2</f>
        <v>37200</v>
      </c>
      <c r="I30" s="108"/>
      <c r="J30" s="108"/>
      <c r="K30" s="108"/>
      <c r="T30" s="17"/>
      <c r="U30" s="17"/>
    </row>
    <row r="31" spans="1:21" ht="12.75" customHeight="1">
      <c r="A31" s="108"/>
      <c r="B31" s="109">
        <v>25</v>
      </c>
      <c r="C31" s="116">
        <f>10500*E2</f>
        <v>10500</v>
      </c>
      <c r="D31" s="108"/>
      <c r="E31" s="108"/>
      <c r="F31" s="108"/>
      <c r="G31" s="109">
        <v>25</v>
      </c>
      <c r="H31" s="114">
        <f>38200*E2</f>
        <v>38200</v>
      </c>
      <c r="I31" s="108"/>
      <c r="J31" s="108"/>
      <c r="K31" s="108"/>
      <c r="T31" s="17"/>
      <c r="U31" s="17"/>
    </row>
    <row r="32" spans="1:21" ht="12.75" customHeight="1">
      <c r="A32" s="108"/>
      <c r="B32" s="109">
        <v>26</v>
      </c>
      <c r="C32" s="114">
        <f>10800*E2</f>
        <v>10800</v>
      </c>
      <c r="D32" s="108"/>
      <c r="E32" s="108"/>
      <c r="F32" s="108"/>
      <c r="G32" s="109">
        <v>26</v>
      </c>
      <c r="H32" s="114">
        <f>39200*E2</f>
        <v>39200</v>
      </c>
      <c r="I32" s="108"/>
      <c r="J32" s="108"/>
      <c r="K32" s="108"/>
      <c r="T32" s="17"/>
      <c r="U32" s="17"/>
    </row>
    <row r="33" spans="1:21" ht="12.75" customHeight="1">
      <c r="A33" s="108"/>
      <c r="B33" s="109">
        <v>27</v>
      </c>
      <c r="C33" s="114">
        <f>11100*E2</f>
        <v>11100</v>
      </c>
      <c r="D33" s="108"/>
      <c r="E33" s="108"/>
      <c r="F33" s="108"/>
      <c r="G33" s="109">
        <v>27</v>
      </c>
      <c r="H33" s="114">
        <f>40200*E2</f>
        <v>40200</v>
      </c>
      <c r="I33" s="108"/>
      <c r="J33" s="108"/>
      <c r="K33" s="108"/>
      <c r="T33" s="17"/>
      <c r="U33" s="17"/>
    </row>
    <row r="34" spans="1:21" ht="12.75" customHeight="1">
      <c r="A34" s="108"/>
      <c r="B34" s="109">
        <v>28</v>
      </c>
      <c r="C34" s="114">
        <f>11400*E2</f>
        <v>11400</v>
      </c>
      <c r="D34" s="108"/>
      <c r="E34" s="108"/>
      <c r="F34" s="108"/>
      <c r="G34" s="109">
        <v>28</v>
      </c>
      <c r="H34" s="114">
        <f>41200*E2</f>
        <v>41200</v>
      </c>
      <c r="I34" s="108"/>
      <c r="J34" s="108"/>
      <c r="K34" s="108"/>
      <c r="T34" s="17"/>
      <c r="U34" s="17"/>
    </row>
    <row r="35" spans="1:21" ht="12.75" customHeight="1">
      <c r="A35" s="108"/>
      <c r="B35" s="109">
        <v>29</v>
      </c>
      <c r="C35" s="114">
        <f>11700*E2</f>
        <v>11700</v>
      </c>
      <c r="D35" s="108"/>
      <c r="E35" s="108"/>
      <c r="F35" s="108"/>
      <c r="G35" s="109">
        <v>29</v>
      </c>
      <c r="H35" s="114">
        <f>42200*E2</f>
        <v>42200</v>
      </c>
      <c r="I35" s="108"/>
      <c r="J35" s="108"/>
      <c r="K35" s="108"/>
      <c r="T35" s="17"/>
      <c r="U35" s="17"/>
    </row>
    <row r="36" spans="1:21" ht="12.75" customHeight="1">
      <c r="A36" s="108"/>
      <c r="B36" s="109">
        <v>30</v>
      </c>
      <c r="C36" s="116">
        <f>12000*E2</f>
        <v>12000</v>
      </c>
      <c r="D36" s="108"/>
      <c r="E36" s="108"/>
      <c r="F36" s="108"/>
      <c r="G36" s="109">
        <v>30</v>
      </c>
      <c r="H36" s="114">
        <f>43200*E2</f>
        <v>43200</v>
      </c>
      <c r="I36" s="108"/>
      <c r="J36" s="108"/>
      <c r="K36" s="108"/>
      <c r="T36" s="17"/>
      <c r="U36" s="17"/>
    </row>
    <row r="37" spans="1:21" ht="12.75" customHeight="1">
      <c r="A37" s="108"/>
      <c r="B37" s="109">
        <v>31</v>
      </c>
      <c r="C37" s="114">
        <f>12300*E2</f>
        <v>12300</v>
      </c>
      <c r="D37" s="108"/>
      <c r="E37" s="108"/>
      <c r="F37" s="108"/>
      <c r="G37" s="109">
        <v>31</v>
      </c>
      <c r="H37" s="114">
        <f>44200*E2</f>
        <v>44200</v>
      </c>
      <c r="I37" s="108"/>
      <c r="J37" s="108"/>
      <c r="K37" s="108"/>
      <c r="T37" s="17"/>
      <c r="U37" s="17"/>
    </row>
    <row r="38" spans="1:21" ht="12.75" customHeight="1">
      <c r="A38" s="108"/>
      <c r="B38" s="109">
        <v>32</v>
      </c>
      <c r="C38" s="114">
        <f>12600*E2</f>
        <v>12600</v>
      </c>
      <c r="D38" s="108"/>
      <c r="E38" s="108"/>
      <c r="F38" s="108"/>
      <c r="G38" s="109">
        <v>32</v>
      </c>
      <c r="H38" s="114">
        <f>45200*E2</f>
        <v>45200</v>
      </c>
      <c r="I38" s="108"/>
      <c r="J38" s="108"/>
      <c r="K38" s="108"/>
      <c r="T38" s="17"/>
      <c r="U38" s="17"/>
    </row>
    <row r="39" spans="1:21" ht="12.75" customHeight="1">
      <c r="A39" s="108"/>
      <c r="B39" s="109">
        <v>33</v>
      </c>
      <c r="C39" s="114">
        <f>12900*E2</f>
        <v>12900</v>
      </c>
      <c r="D39" s="108"/>
      <c r="E39" s="108"/>
      <c r="F39" s="108"/>
      <c r="G39" s="109">
        <v>33</v>
      </c>
      <c r="H39" s="114">
        <f>46200*E2</f>
        <v>46200</v>
      </c>
      <c r="I39" s="108"/>
      <c r="J39" s="108"/>
      <c r="K39" s="108"/>
      <c r="T39" s="17"/>
      <c r="U39" s="17"/>
    </row>
    <row r="40" spans="1:21" ht="12.75">
      <c r="A40" s="108"/>
      <c r="B40" s="109">
        <v>34</v>
      </c>
      <c r="C40" s="114">
        <f>13200*E2</f>
        <v>13200</v>
      </c>
      <c r="D40" s="108"/>
      <c r="E40" s="108"/>
      <c r="F40" s="108"/>
      <c r="G40" s="109">
        <v>34</v>
      </c>
      <c r="H40" s="114">
        <f>47200*E2</f>
        <v>47200</v>
      </c>
      <c r="I40" s="108"/>
      <c r="J40" s="108"/>
      <c r="K40" s="108"/>
      <c r="T40" s="17"/>
      <c r="U40" s="17"/>
    </row>
    <row r="41" spans="1:21" ht="12.75">
      <c r="A41" s="108"/>
      <c r="B41" s="109">
        <v>35</v>
      </c>
      <c r="C41" s="116">
        <f>13500*E2</f>
        <v>13500</v>
      </c>
      <c r="D41" s="108"/>
      <c r="E41" s="108"/>
      <c r="F41" s="108"/>
      <c r="G41" s="109">
        <v>35</v>
      </c>
      <c r="H41" s="114">
        <f>48200*E2</f>
        <v>48200</v>
      </c>
      <c r="I41" s="108"/>
      <c r="J41" s="108"/>
      <c r="K41" s="108"/>
      <c r="T41" s="17"/>
      <c r="U41" s="17"/>
    </row>
    <row r="42" spans="1:21" ht="12.75">
      <c r="A42" s="108"/>
      <c r="B42" s="109">
        <v>36</v>
      </c>
      <c r="C42" s="114">
        <f>13800*E2</f>
        <v>13800</v>
      </c>
      <c r="D42" s="108"/>
      <c r="E42" s="108"/>
      <c r="F42" s="108"/>
      <c r="G42" s="109">
        <v>36</v>
      </c>
      <c r="H42" s="114">
        <f>49200*E2</f>
        <v>49200</v>
      </c>
      <c r="I42" s="108"/>
      <c r="J42" s="108"/>
      <c r="K42" s="108"/>
      <c r="T42" s="17"/>
      <c r="U42" s="17"/>
    </row>
    <row r="43" spans="1:21" ht="12.75">
      <c r="A43" s="108"/>
      <c r="B43" s="109">
        <v>37</v>
      </c>
      <c r="C43" s="114">
        <f>14100*E2</f>
        <v>14100</v>
      </c>
      <c r="D43" s="108"/>
      <c r="E43" s="108"/>
      <c r="F43" s="108"/>
      <c r="G43" s="109">
        <v>37</v>
      </c>
      <c r="H43" s="114">
        <f>50200*E2</f>
        <v>50200</v>
      </c>
      <c r="I43" s="108"/>
      <c r="J43" s="108"/>
      <c r="K43" s="108"/>
      <c r="T43" s="17"/>
      <c r="U43" s="17"/>
    </row>
    <row r="44" spans="1:21" ht="12.75">
      <c r="A44" s="108"/>
      <c r="B44" s="109">
        <v>38</v>
      </c>
      <c r="C44" s="114">
        <f>14400*E2</f>
        <v>14400</v>
      </c>
      <c r="D44" s="108"/>
      <c r="E44" s="108"/>
      <c r="F44" s="108"/>
      <c r="G44" s="109">
        <v>38</v>
      </c>
      <c r="H44" s="114">
        <f>51200*E2</f>
        <v>51200</v>
      </c>
      <c r="I44" s="108"/>
      <c r="J44" s="108"/>
      <c r="K44" s="115"/>
      <c r="L44" s="78"/>
      <c r="T44" s="17"/>
      <c r="U44" s="17"/>
    </row>
    <row r="45" spans="1:21" ht="12.75">
      <c r="A45" s="108"/>
      <c r="B45" s="109">
        <v>39</v>
      </c>
      <c r="C45" s="114">
        <f>14700*E2</f>
        <v>14700</v>
      </c>
      <c r="D45" s="108"/>
      <c r="E45" s="108"/>
      <c r="F45" s="108"/>
      <c r="G45" s="109">
        <v>39</v>
      </c>
      <c r="H45" s="114">
        <f>52200*E2</f>
        <v>52200</v>
      </c>
      <c r="I45" s="108"/>
      <c r="J45" s="108"/>
      <c r="K45" s="115"/>
      <c r="L45" s="78"/>
      <c r="T45" s="17"/>
      <c r="U45" s="17"/>
    </row>
    <row r="46" spans="1:21" ht="12.75">
      <c r="A46" s="108"/>
      <c r="B46" s="109">
        <v>40</v>
      </c>
      <c r="C46" s="116">
        <f>15000*E2</f>
        <v>15000</v>
      </c>
      <c r="D46" s="108"/>
      <c r="E46" s="108"/>
      <c r="F46" s="108"/>
      <c r="G46" s="109">
        <v>40</v>
      </c>
      <c r="H46" s="114">
        <f>53200*E2</f>
        <v>53200</v>
      </c>
      <c r="I46" s="108"/>
      <c r="J46" s="108"/>
      <c r="K46" s="115"/>
      <c r="L46" s="78"/>
      <c r="T46" s="17"/>
      <c r="U46" s="17"/>
    </row>
    <row r="47" spans="1:21" ht="12.75">
      <c r="A47" s="108"/>
      <c r="B47" s="109">
        <v>41</v>
      </c>
      <c r="C47" s="114">
        <f>15200*E2</f>
        <v>15200</v>
      </c>
      <c r="D47" s="108"/>
      <c r="E47" s="108"/>
      <c r="F47" s="108"/>
      <c r="G47" s="109">
        <v>41</v>
      </c>
      <c r="H47" s="114">
        <f>54200*E2</f>
        <v>54200</v>
      </c>
      <c r="I47" s="108"/>
      <c r="J47" s="108"/>
      <c r="K47" s="115"/>
      <c r="L47" s="78"/>
      <c r="M47" s="118"/>
      <c r="N47" s="17"/>
      <c r="O47" s="118"/>
      <c r="P47" s="17"/>
      <c r="Q47" s="17"/>
      <c r="R47" s="17"/>
      <c r="S47" s="17"/>
      <c r="T47" s="17"/>
      <c r="U47" s="17"/>
    </row>
    <row r="48" spans="1:21" ht="12.75">
      <c r="A48" s="108"/>
      <c r="B48" s="109">
        <v>42</v>
      </c>
      <c r="C48" s="114">
        <f>15400*E2</f>
        <v>15400</v>
      </c>
      <c r="D48" s="108"/>
      <c r="E48" s="108"/>
      <c r="F48" s="108"/>
      <c r="G48" s="109">
        <v>42</v>
      </c>
      <c r="H48" s="114">
        <f>55200*E2</f>
        <v>55200</v>
      </c>
      <c r="I48" s="119"/>
      <c r="J48" s="115"/>
      <c r="K48" s="120"/>
      <c r="L48" s="17"/>
      <c r="M48" s="118"/>
      <c r="N48" s="17"/>
      <c r="O48" s="118"/>
      <c r="P48" s="17"/>
      <c r="Q48" s="17"/>
      <c r="R48" s="17"/>
      <c r="S48" s="17"/>
      <c r="T48" s="17"/>
      <c r="U48" s="17"/>
    </row>
    <row r="49" spans="1:21" ht="12.75">
      <c r="A49" s="108"/>
      <c r="B49" s="109">
        <v>43</v>
      </c>
      <c r="C49" s="114">
        <f>15600*E2</f>
        <v>15600</v>
      </c>
      <c r="D49" s="108"/>
      <c r="E49" s="108"/>
      <c r="F49" s="108"/>
      <c r="G49" s="109">
        <v>43</v>
      </c>
      <c r="H49" s="114">
        <f>56200*E2</f>
        <v>56200</v>
      </c>
      <c r="I49" s="119"/>
      <c r="J49" s="115"/>
      <c r="K49" s="120"/>
      <c r="L49" s="17"/>
      <c r="M49" s="118"/>
      <c r="N49" s="17"/>
      <c r="O49" s="118"/>
      <c r="P49" s="17"/>
      <c r="Q49" s="17"/>
      <c r="R49" s="17"/>
      <c r="S49" s="17"/>
      <c r="T49" s="17"/>
      <c r="U49" s="17"/>
    </row>
    <row r="50" spans="1:21" ht="12.75">
      <c r="A50" s="108"/>
      <c r="B50" s="109">
        <v>44</v>
      </c>
      <c r="C50" s="114">
        <f>15800*E2</f>
        <v>15800</v>
      </c>
      <c r="D50" s="108"/>
      <c r="E50" s="108"/>
      <c r="F50" s="108"/>
      <c r="G50" s="109">
        <v>44</v>
      </c>
      <c r="H50" s="114">
        <f>57200*E2</f>
        <v>57200</v>
      </c>
      <c r="I50" s="119"/>
      <c r="J50" s="115"/>
      <c r="K50" s="120"/>
      <c r="L50" s="17"/>
      <c r="M50" s="118"/>
      <c r="N50" s="17"/>
      <c r="O50" s="118"/>
      <c r="P50" s="17"/>
      <c r="Q50" s="17"/>
      <c r="R50" s="17"/>
      <c r="S50" s="17"/>
      <c r="T50" s="17"/>
      <c r="U50" s="17"/>
    </row>
    <row r="51" spans="1:21" ht="12.75">
      <c r="A51" s="108"/>
      <c r="B51" s="109">
        <v>45</v>
      </c>
      <c r="C51" s="116">
        <f>16000*E2</f>
        <v>16000</v>
      </c>
      <c r="D51" s="108"/>
      <c r="E51" s="108"/>
      <c r="F51" s="108"/>
      <c r="G51" s="109">
        <v>45</v>
      </c>
      <c r="H51" s="114">
        <f>58200*E2</f>
        <v>58200</v>
      </c>
      <c r="I51" s="108"/>
      <c r="J51" s="108"/>
      <c r="K51" s="108"/>
      <c r="T51" s="17"/>
      <c r="U51" s="17"/>
    </row>
    <row r="52" spans="1:11" s="106" customFormat="1" ht="15.75" customHeight="1">
      <c r="A52" s="108"/>
      <c r="B52" s="109">
        <v>46</v>
      </c>
      <c r="C52" s="114">
        <f>16200*E2</f>
        <v>16200</v>
      </c>
      <c r="D52" s="108"/>
      <c r="E52" s="108"/>
      <c r="F52" s="108"/>
      <c r="G52" s="109">
        <v>46</v>
      </c>
      <c r="H52" s="114">
        <f>59200*E2</f>
        <v>59200</v>
      </c>
      <c r="I52" s="108"/>
      <c r="J52" s="108"/>
      <c r="K52" s="108"/>
    </row>
    <row r="53" spans="1:11" s="106" customFormat="1" ht="15.75" customHeight="1">
      <c r="A53" s="108"/>
      <c r="B53" s="109">
        <v>47</v>
      </c>
      <c r="C53" s="114">
        <f>16400*E2</f>
        <v>16400</v>
      </c>
      <c r="D53" s="108"/>
      <c r="E53" s="108"/>
      <c r="F53" s="108"/>
      <c r="G53" s="109">
        <v>47</v>
      </c>
      <c r="H53" s="114">
        <f>60200*E2</f>
        <v>60200</v>
      </c>
      <c r="I53" s="108"/>
      <c r="J53" s="108"/>
      <c r="K53" s="108"/>
    </row>
    <row r="54" spans="1:11" ht="12.75">
      <c r="A54" s="108"/>
      <c r="B54" s="109">
        <v>48</v>
      </c>
      <c r="C54" s="114">
        <f>16600*E2</f>
        <v>16600</v>
      </c>
      <c r="D54" s="108"/>
      <c r="E54" s="108"/>
      <c r="F54" s="108"/>
      <c r="G54" s="109">
        <v>48</v>
      </c>
      <c r="H54" s="114">
        <f>61200*E2</f>
        <v>61200</v>
      </c>
      <c r="I54" s="108"/>
      <c r="J54" s="108"/>
      <c r="K54" s="108"/>
    </row>
    <row r="55" spans="1:35" ht="12.75" customHeight="1">
      <c r="A55" s="108"/>
      <c r="B55" s="109">
        <v>49</v>
      </c>
      <c r="C55" s="114">
        <f>16800*E2</f>
        <v>16800</v>
      </c>
      <c r="D55" s="108"/>
      <c r="E55" s="108"/>
      <c r="F55" s="108"/>
      <c r="G55" s="109">
        <v>49</v>
      </c>
      <c r="H55" s="114">
        <f>62250*E2</f>
        <v>62250</v>
      </c>
      <c r="I55" s="108"/>
      <c r="J55" s="108"/>
      <c r="K55" s="108"/>
      <c r="T55" s="18"/>
      <c r="U55" s="18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21" ht="12.75" customHeight="1">
      <c r="A56" s="108"/>
      <c r="B56" s="109">
        <v>50</v>
      </c>
      <c r="C56" s="116">
        <f>17000*E2</f>
        <v>17000</v>
      </c>
      <c r="D56" s="108"/>
      <c r="E56" s="108"/>
      <c r="F56" s="108"/>
      <c r="G56" s="109">
        <v>50</v>
      </c>
      <c r="H56" s="114">
        <f>63200*E2</f>
        <v>63200</v>
      </c>
      <c r="J56" s="108"/>
      <c r="K56" s="108"/>
      <c r="T56" s="17"/>
      <c r="U56" s="17"/>
    </row>
    <row r="57" spans="1:21" ht="12.75" customHeight="1">
      <c r="A57" s="108"/>
      <c r="B57" s="109">
        <v>51</v>
      </c>
      <c r="C57" s="114">
        <f>17200*E2</f>
        <v>17200</v>
      </c>
      <c r="D57" s="108"/>
      <c r="E57" s="108"/>
      <c r="F57" s="121" t="s">
        <v>301</v>
      </c>
      <c r="G57" s="109"/>
      <c r="H57" s="122">
        <f>800*E2</f>
        <v>800</v>
      </c>
      <c r="I57" s="108" t="s">
        <v>302</v>
      </c>
      <c r="J57" s="108"/>
      <c r="K57" s="108"/>
      <c r="T57" s="17"/>
      <c r="U57" s="17"/>
    </row>
    <row r="58" spans="1:21" ht="12.75" customHeight="1">
      <c r="A58" s="108"/>
      <c r="B58" s="109">
        <v>52</v>
      </c>
      <c r="C58" s="114">
        <f>17400*E2</f>
        <v>17400</v>
      </c>
      <c r="D58" s="108"/>
      <c r="E58" s="108"/>
      <c r="F58" s="108"/>
      <c r="G58" s="108"/>
      <c r="H58" s="108"/>
      <c r="I58" s="108"/>
      <c r="J58" s="108"/>
      <c r="K58" s="108"/>
      <c r="T58" s="17"/>
      <c r="U58" s="17"/>
    </row>
    <row r="59" spans="1:21" ht="12.75" customHeight="1">
      <c r="A59" s="108"/>
      <c r="B59" s="109">
        <v>53</v>
      </c>
      <c r="C59" s="114">
        <f>17600*E2</f>
        <v>17600</v>
      </c>
      <c r="D59" s="108"/>
      <c r="E59" s="108"/>
      <c r="F59" s="108"/>
      <c r="G59" s="108"/>
      <c r="H59" s="108"/>
      <c r="I59" s="108"/>
      <c r="J59" s="108"/>
      <c r="K59" s="108"/>
      <c r="T59" s="17"/>
      <c r="U59" s="17"/>
    </row>
    <row r="60" spans="1:21" ht="12.75" customHeight="1">
      <c r="A60" s="108"/>
      <c r="B60" s="109">
        <v>54</v>
      </c>
      <c r="C60" s="114">
        <f>17800*E2</f>
        <v>17800</v>
      </c>
      <c r="D60" s="108"/>
      <c r="E60" s="108"/>
      <c r="F60" s="108"/>
      <c r="G60" s="108"/>
      <c r="H60" s="108"/>
      <c r="I60" s="108"/>
      <c r="J60" s="108"/>
      <c r="K60" s="108"/>
      <c r="T60" s="17"/>
      <c r="U60" s="17"/>
    </row>
    <row r="61" spans="1:21" ht="12.75" customHeight="1">
      <c r="A61" s="108"/>
      <c r="B61" s="109">
        <v>55</v>
      </c>
      <c r="C61" s="116">
        <f>18000*E2</f>
        <v>18000</v>
      </c>
      <c r="D61" s="108"/>
      <c r="E61" s="108"/>
      <c r="F61" s="108"/>
      <c r="G61" s="108"/>
      <c r="H61" s="108"/>
      <c r="I61" s="108"/>
      <c r="J61" s="108"/>
      <c r="K61" s="108"/>
      <c r="T61" s="17"/>
      <c r="U61" s="17"/>
    </row>
    <row r="62" spans="1:11" ht="12.75">
      <c r="A62" s="108"/>
      <c r="B62" s="109">
        <v>56</v>
      </c>
      <c r="C62" s="114">
        <f>18200*E2</f>
        <v>18200</v>
      </c>
      <c r="D62" s="108"/>
      <c r="E62" s="108"/>
      <c r="F62" s="108"/>
      <c r="G62" s="108"/>
      <c r="H62" s="108"/>
      <c r="I62" s="108"/>
      <c r="J62" s="108"/>
      <c r="K62" s="108"/>
    </row>
    <row r="63" spans="1:11" ht="12.75">
      <c r="A63" s="108"/>
      <c r="B63" s="109">
        <v>57</v>
      </c>
      <c r="C63" s="114">
        <f>18400*E2</f>
        <v>18400</v>
      </c>
      <c r="D63" s="108"/>
      <c r="E63" s="108"/>
      <c r="F63" s="108"/>
      <c r="G63" s="108"/>
      <c r="H63" s="108"/>
      <c r="I63" s="108"/>
      <c r="J63" s="108"/>
      <c r="K63" s="108"/>
    </row>
    <row r="64" spans="1:11" ht="12.75">
      <c r="A64" s="108"/>
      <c r="B64" s="109">
        <v>58</v>
      </c>
      <c r="C64" s="114">
        <f>18600*E2</f>
        <v>18600</v>
      </c>
      <c r="D64" s="108"/>
      <c r="E64" s="108"/>
      <c r="F64" s="108"/>
      <c r="G64" s="108"/>
      <c r="H64" s="108"/>
      <c r="I64" s="108"/>
      <c r="J64" s="108"/>
      <c r="K64" s="108"/>
    </row>
    <row r="65" spans="1:11" ht="12.75">
      <c r="A65" s="108"/>
      <c r="B65" s="109">
        <v>59</v>
      </c>
      <c r="C65" s="114">
        <f>18800*E2</f>
        <v>18800</v>
      </c>
      <c r="D65" s="108"/>
      <c r="E65" s="108"/>
      <c r="F65" s="108"/>
      <c r="G65" s="108"/>
      <c r="H65" s="108"/>
      <c r="I65" s="108"/>
      <c r="J65" s="108"/>
      <c r="K65" s="108"/>
    </row>
    <row r="66" spans="1:11" ht="12.75">
      <c r="A66" s="108"/>
      <c r="B66" s="109">
        <v>60</v>
      </c>
      <c r="C66" s="116">
        <f>19000*E2</f>
        <v>19000</v>
      </c>
      <c r="D66" s="108"/>
      <c r="E66" s="108"/>
      <c r="F66" s="108"/>
      <c r="G66" s="108"/>
      <c r="H66" s="108"/>
      <c r="I66" s="108"/>
      <c r="J66" s="108"/>
      <c r="K66" s="108"/>
    </row>
    <row r="67" spans="1:11" ht="12.75">
      <c r="A67" s="108"/>
      <c r="B67" s="109">
        <v>61</v>
      </c>
      <c r="C67" s="114">
        <f>19200*E2</f>
        <v>19200</v>
      </c>
      <c r="D67" s="108"/>
      <c r="E67" s="108"/>
      <c r="F67" s="108"/>
      <c r="G67" s="108"/>
      <c r="H67" s="108"/>
      <c r="I67" s="108"/>
      <c r="J67" s="108"/>
      <c r="K67" s="108"/>
    </row>
    <row r="68" spans="1:11" ht="12.75">
      <c r="A68" s="108"/>
      <c r="B68" s="109">
        <v>62</v>
      </c>
      <c r="C68" s="114">
        <f>19400*E2</f>
        <v>19400</v>
      </c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8"/>
      <c r="B69" s="109">
        <v>63</v>
      </c>
      <c r="C69" s="114">
        <f>19600*E2</f>
        <v>19600</v>
      </c>
      <c r="D69" s="108"/>
      <c r="E69" s="108"/>
      <c r="F69" s="108"/>
      <c r="G69" s="108"/>
      <c r="H69" s="108"/>
      <c r="I69" s="108"/>
      <c r="J69" s="108"/>
      <c r="K69" s="108"/>
    </row>
    <row r="70" spans="1:11" ht="12.75">
      <c r="A70" s="108"/>
      <c r="B70" s="109">
        <v>64</v>
      </c>
      <c r="C70" s="114">
        <f>19800*E2</f>
        <v>19800</v>
      </c>
      <c r="D70" s="108"/>
      <c r="E70" s="108"/>
      <c r="F70" s="108"/>
      <c r="G70" s="108"/>
      <c r="H70" s="108"/>
      <c r="I70" s="108"/>
      <c r="J70" s="108"/>
      <c r="K70" s="108"/>
    </row>
    <row r="71" spans="1:11" ht="12.75">
      <c r="A71" s="108"/>
      <c r="B71" s="109">
        <v>65</v>
      </c>
      <c r="C71" s="116">
        <f>20000*E2</f>
        <v>20000</v>
      </c>
      <c r="D71" s="108"/>
      <c r="E71" s="108"/>
      <c r="F71" s="108"/>
      <c r="G71" s="108"/>
      <c r="H71" s="108"/>
      <c r="I71" s="108"/>
      <c r="J71" s="108"/>
      <c r="K71" s="108"/>
    </row>
    <row r="72" spans="1:11" ht="12.75">
      <c r="A72" s="108"/>
      <c r="B72" s="109">
        <v>66</v>
      </c>
      <c r="C72" s="114">
        <f>20200*E2</f>
        <v>20200</v>
      </c>
      <c r="D72" s="108"/>
      <c r="E72" s="108"/>
      <c r="F72" s="108"/>
      <c r="G72" s="108"/>
      <c r="H72" s="108"/>
      <c r="I72" s="108"/>
      <c r="J72" s="108"/>
      <c r="K72" s="108"/>
    </row>
    <row r="73" spans="1:11" ht="12.75">
      <c r="A73" s="108"/>
      <c r="B73" s="109">
        <v>67</v>
      </c>
      <c r="C73" s="114">
        <f>20400*E2</f>
        <v>20400</v>
      </c>
      <c r="D73" s="108"/>
      <c r="E73" s="108"/>
      <c r="F73" s="108"/>
      <c r="G73" s="108"/>
      <c r="H73" s="108"/>
      <c r="I73" s="108"/>
      <c r="J73" s="108"/>
      <c r="K73" s="108"/>
    </row>
    <row r="74" spans="1:11" ht="12.75">
      <c r="A74" s="108"/>
      <c r="B74" s="109">
        <v>68</v>
      </c>
      <c r="C74" s="114">
        <f>20600*E2</f>
        <v>20600</v>
      </c>
      <c r="D74" s="108"/>
      <c r="E74" s="108"/>
      <c r="F74" s="108"/>
      <c r="G74" s="108"/>
      <c r="H74" s="108"/>
      <c r="I74" s="108"/>
      <c r="J74" s="108"/>
      <c r="K74" s="108"/>
    </row>
    <row r="75" spans="1:11" ht="12.75">
      <c r="A75" s="108"/>
      <c r="B75" s="109">
        <v>69</v>
      </c>
      <c r="C75" s="114">
        <f>20800*E2</f>
        <v>20800</v>
      </c>
      <c r="D75" s="108"/>
      <c r="E75" s="108"/>
      <c r="F75" s="108"/>
      <c r="G75" s="108"/>
      <c r="H75" s="108"/>
      <c r="I75" s="108"/>
      <c r="J75" s="108"/>
      <c r="K75" s="108"/>
    </row>
    <row r="76" spans="1:11" ht="12.75">
      <c r="A76" s="108"/>
      <c r="B76" s="109">
        <v>70</v>
      </c>
      <c r="C76" s="116">
        <f>21000*E2</f>
        <v>21000</v>
      </c>
      <c r="D76" s="108"/>
      <c r="E76" s="108"/>
      <c r="F76" s="108"/>
      <c r="G76" s="108"/>
      <c r="H76" s="108"/>
      <c r="I76" s="108"/>
      <c r="J76" s="108"/>
      <c r="K76" s="108"/>
    </row>
    <row r="77" spans="1:11" ht="12.75">
      <c r="A77" s="108"/>
      <c r="B77" s="109">
        <v>71</v>
      </c>
      <c r="C77" s="114">
        <f>21200*E2</f>
        <v>21200</v>
      </c>
      <c r="D77" s="108"/>
      <c r="E77" s="108"/>
      <c r="F77" s="108"/>
      <c r="G77" s="108"/>
      <c r="H77" s="108"/>
      <c r="I77" s="108"/>
      <c r="J77" s="108"/>
      <c r="K77" s="108"/>
    </row>
    <row r="78" spans="1:11" ht="12.75">
      <c r="A78" s="108"/>
      <c r="B78" s="109">
        <v>72</v>
      </c>
      <c r="C78" s="114">
        <f>21400*E2</f>
        <v>21400</v>
      </c>
      <c r="D78" s="108"/>
      <c r="E78" s="108"/>
      <c r="F78" s="108"/>
      <c r="G78" s="108"/>
      <c r="H78" s="108"/>
      <c r="I78" s="108"/>
      <c r="J78" s="108"/>
      <c r="K78" s="108"/>
    </row>
    <row r="79" spans="1:11" ht="12.75">
      <c r="A79" s="108"/>
      <c r="B79" s="109">
        <v>73</v>
      </c>
      <c r="C79" s="114">
        <f>21600*E2</f>
        <v>21600</v>
      </c>
      <c r="D79" s="108"/>
      <c r="E79" s="108"/>
      <c r="F79" s="108"/>
      <c r="G79" s="108"/>
      <c r="H79" s="108"/>
      <c r="I79" s="108"/>
      <c r="J79" s="108"/>
      <c r="K79" s="108"/>
    </row>
    <row r="80" spans="1:11" ht="12.75">
      <c r="A80" s="108"/>
      <c r="B80" s="109">
        <v>74</v>
      </c>
      <c r="C80" s="114">
        <f>21800*E2</f>
        <v>21800</v>
      </c>
      <c r="D80" s="108"/>
      <c r="E80" s="108"/>
      <c r="F80" s="108"/>
      <c r="G80" s="108"/>
      <c r="H80" s="108"/>
      <c r="I80" s="108"/>
      <c r="J80" s="108"/>
      <c r="K80" s="108"/>
    </row>
    <row r="81" spans="1:11" ht="12.75">
      <c r="A81" s="108"/>
      <c r="B81" s="109">
        <v>75</v>
      </c>
      <c r="C81" s="116">
        <f>22000*E2</f>
        <v>22000</v>
      </c>
      <c r="D81" s="108"/>
      <c r="E81" s="108"/>
      <c r="F81" s="108"/>
      <c r="G81" s="108"/>
      <c r="H81" s="108"/>
      <c r="I81" s="108"/>
      <c r="J81" s="108"/>
      <c r="K81" s="108"/>
    </row>
    <row r="82" spans="1:11" ht="12.75">
      <c r="A82" s="108"/>
      <c r="B82" s="109">
        <v>76</v>
      </c>
      <c r="C82" s="114">
        <f>22200*E2</f>
        <v>22200</v>
      </c>
      <c r="D82" s="108"/>
      <c r="E82" s="108"/>
      <c r="F82" s="108"/>
      <c r="G82" s="108"/>
      <c r="H82" s="108"/>
      <c r="I82" s="108"/>
      <c r="J82" s="108"/>
      <c r="K82" s="108"/>
    </row>
    <row r="83" spans="1:11" ht="12.75">
      <c r="A83" s="108"/>
      <c r="B83" s="109">
        <v>77</v>
      </c>
      <c r="C83" s="114">
        <f>22400*E2</f>
        <v>22400</v>
      </c>
      <c r="D83" s="108"/>
      <c r="E83" s="108"/>
      <c r="F83" s="108"/>
      <c r="G83" s="108"/>
      <c r="H83" s="108"/>
      <c r="I83" s="108"/>
      <c r="J83" s="108"/>
      <c r="K83" s="108"/>
    </row>
    <row r="84" spans="1:11" ht="12.75">
      <c r="A84" s="108"/>
      <c r="B84" s="109">
        <v>78</v>
      </c>
      <c r="C84" s="114">
        <f>22600*E2</f>
        <v>22600</v>
      </c>
      <c r="D84" s="108"/>
      <c r="E84" s="108"/>
      <c r="F84" s="108"/>
      <c r="G84" s="108"/>
      <c r="H84" s="108"/>
      <c r="I84" s="108"/>
      <c r="J84" s="108"/>
      <c r="K84" s="108"/>
    </row>
    <row r="85" spans="1:11" ht="12.75">
      <c r="A85" s="108"/>
      <c r="B85" s="109">
        <v>79</v>
      </c>
      <c r="C85" s="114">
        <f>22800*E2</f>
        <v>22800</v>
      </c>
      <c r="D85" s="108"/>
      <c r="E85" s="108"/>
      <c r="F85" s="108"/>
      <c r="G85" s="108"/>
      <c r="H85" s="108"/>
      <c r="I85" s="108"/>
      <c r="J85" s="108"/>
      <c r="K85" s="108"/>
    </row>
    <row r="86" spans="1:11" ht="12.75">
      <c r="A86" s="108"/>
      <c r="B86" s="109">
        <v>80</v>
      </c>
      <c r="C86" s="116">
        <f>23000*E2</f>
        <v>23000</v>
      </c>
      <c r="D86" s="108"/>
      <c r="E86" s="108"/>
      <c r="F86" s="108"/>
      <c r="G86" s="108"/>
      <c r="H86" s="108"/>
      <c r="I86" s="108"/>
      <c r="J86" s="108"/>
      <c r="K86" s="108"/>
    </row>
    <row r="87" spans="1:11" ht="12.75">
      <c r="A87" s="108"/>
      <c r="B87" s="109">
        <v>81</v>
      </c>
      <c r="C87" s="114">
        <f>23200*E2</f>
        <v>23200</v>
      </c>
      <c r="D87" s="108"/>
      <c r="E87" s="108"/>
      <c r="F87" s="108"/>
      <c r="G87" s="108"/>
      <c r="H87" s="108"/>
      <c r="I87" s="108"/>
      <c r="J87" s="108"/>
      <c r="K87" s="108"/>
    </row>
    <row r="88" spans="1:11" ht="12.75">
      <c r="A88" s="108"/>
      <c r="B88" s="109">
        <v>82</v>
      </c>
      <c r="C88" s="114">
        <f>23400*E2</f>
        <v>23400</v>
      </c>
      <c r="D88" s="108"/>
      <c r="E88" s="108"/>
      <c r="F88" s="108"/>
      <c r="G88" s="108"/>
      <c r="H88" s="108"/>
      <c r="I88" s="108"/>
      <c r="J88" s="108"/>
      <c r="K88" s="108"/>
    </row>
    <row r="89" spans="1:11" ht="12.75">
      <c r="A89" s="108"/>
      <c r="B89" s="109">
        <v>83</v>
      </c>
      <c r="C89" s="114">
        <f>23600*E2</f>
        <v>23600</v>
      </c>
      <c r="D89" s="108"/>
      <c r="E89" s="108"/>
      <c r="F89" s="108"/>
      <c r="G89" s="108"/>
      <c r="H89" s="108"/>
      <c r="I89" s="108"/>
      <c r="J89" s="108"/>
      <c r="K89" s="108"/>
    </row>
    <row r="90" spans="1:11" ht="12.75">
      <c r="A90" s="108"/>
      <c r="B90" s="109">
        <v>84</v>
      </c>
      <c r="C90" s="114">
        <f>23800*E2</f>
        <v>23800</v>
      </c>
      <c r="D90" s="108"/>
      <c r="E90" s="108"/>
      <c r="F90" s="108"/>
      <c r="G90" s="108"/>
      <c r="H90" s="108"/>
      <c r="I90" s="108"/>
      <c r="J90" s="108"/>
      <c r="K90" s="108"/>
    </row>
    <row r="91" spans="1:11" ht="12.75">
      <c r="A91" s="108"/>
      <c r="B91" s="109">
        <v>85</v>
      </c>
      <c r="C91" s="116">
        <f>24000*E2</f>
        <v>24000</v>
      </c>
      <c r="D91" s="108"/>
      <c r="E91" s="108"/>
      <c r="F91" s="108"/>
      <c r="G91" s="108"/>
      <c r="H91" s="108"/>
      <c r="I91" s="108"/>
      <c r="J91" s="108"/>
      <c r="K91" s="108"/>
    </row>
    <row r="92" spans="1:11" ht="12.75">
      <c r="A92" s="108"/>
      <c r="B92" s="109">
        <v>86</v>
      </c>
      <c r="C92" s="114">
        <f>24200*E2</f>
        <v>24200</v>
      </c>
      <c r="D92" s="108"/>
      <c r="E92" s="108"/>
      <c r="F92" s="108"/>
      <c r="G92" s="108"/>
      <c r="H92" s="108"/>
      <c r="I92" s="108"/>
      <c r="J92" s="108"/>
      <c r="K92" s="108"/>
    </row>
    <row r="93" spans="1:11" ht="12.75">
      <c r="A93" s="108"/>
      <c r="B93" s="109">
        <v>87</v>
      </c>
      <c r="C93" s="114">
        <f>24400*E2</f>
        <v>24400</v>
      </c>
      <c r="D93" s="108"/>
      <c r="E93" s="108"/>
      <c r="F93" s="108"/>
      <c r="G93" s="108"/>
      <c r="H93" s="108"/>
      <c r="I93" s="108"/>
      <c r="J93" s="108"/>
      <c r="K93" s="108"/>
    </row>
    <row r="94" spans="1:11" ht="12.75">
      <c r="A94" s="108"/>
      <c r="B94" s="109">
        <v>88</v>
      </c>
      <c r="C94" s="114">
        <f>24600*E2</f>
        <v>24600</v>
      </c>
      <c r="D94" s="108"/>
      <c r="E94" s="108"/>
      <c r="F94" s="108"/>
      <c r="G94" s="108"/>
      <c r="H94" s="108"/>
      <c r="I94" s="108"/>
      <c r="J94" s="108"/>
      <c r="K94" s="108"/>
    </row>
    <row r="95" spans="1:11" ht="12.75">
      <c r="A95" s="108"/>
      <c r="B95" s="109">
        <v>89</v>
      </c>
      <c r="C95" s="114">
        <f>24800*E2</f>
        <v>24800</v>
      </c>
      <c r="D95" s="108"/>
      <c r="E95" s="108"/>
      <c r="F95" s="108"/>
      <c r="G95" s="108"/>
      <c r="H95" s="108"/>
      <c r="I95" s="108"/>
      <c r="J95" s="108"/>
      <c r="K95" s="108"/>
    </row>
    <row r="96" spans="1:11" ht="12.75">
      <c r="A96" s="108"/>
      <c r="B96" s="109">
        <v>90</v>
      </c>
      <c r="C96" s="116">
        <f>25000*E2</f>
        <v>25000</v>
      </c>
      <c r="D96" s="108"/>
      <c r="E96" s="108"/>
      <c r="F96" s="108"/>
      <c r="G96" s="108"/>
      <c r="H96" s="108"/>
      <c r="I96" s="108"/>
      <c r="J96" s="108"/>
      <c r="K96" s="108"/>
    </row>
    <row r="97" spans="1:11" ht="12.75">
      <c r="A97" s="108"/>
      <c r="B97" s="109">
        <v>91</v>
      </c>
      <c r="C97" s="114">
        <f>25200*E2</f>
        <v>25200</v>
      </c>
      <c r="D97" s="108"/>
      <c r="E97" s="108"/>
      <c r="F97" s="108"/>
      <c r="G97" s="108"/>
      <c r="H97" s="108"/>
      <c r="I97" s="108"/>
      <c r="J97" s="108"/>
      <c r="K97" s="108"/>
    </row>
    <row r="98" spans="1:11" ht="12.75">
      <c r="A98" s="108"/>
      <c r="B98" s="109">
        <v>92</v>
      </c>
      <c r="C98" s="114">
        <f>25400*E2</f>
        <v>25400</v>
      </c>
      <c r="D98" s="108"/>
      <c r="E98" s="108"/>
      <c r="F98" s="108"/>
      <c r="G98" s="108"/>
      <c r="H98" s="108"/>
      <c r="I98" s="108"/>
      <c r="J98" s="108"/>
      <c r="K98" s="108"/>
    </row>
    <row r="99" spans="1:11" ht="12.75">
      <c r="A99" s="108"/>
      <c r="B99" s="109">
        <v>93</v>
      </c>
      <c r="C99" s="114">
        <f>25600*E2</f>
        <v>25600</v>
      </c>
      <c r="D99" s="108"/>
      <c r="E99" s="108"/>
      <c r="F99" s="108"/>
      <c r="G99" s="108"/>
      <c r="H99" s="108"/>
      <c r="I99" s="108"/>
      <c r="J99" s="108"/>
      <c r="K99" s="108"/>
    </row>
    <row r="100" spans="1:11" ht="12.75">
      <c r="A100" s="108"/>
      <c r="B100" s="109">
        <v>94</v>
      </c>
      <c r="C100" s="114">
        <f>25800*E2</f>
        <v>25800</v>
      </c>
      <c r="D100" s="108"/>
      <c r="E100" s="108"/>
      <c r="F100" s="108"/>
      <c r="G100" s="108"/>
      <c r="H100" s="108"/>
      <c r="I100" s="108"/>
      <c r="J100" s="108"/>
      <c r="K100" s="108"/>
    </row>
    <row r="101" spans="1:11" ht="12.75">
      <c r="A101" s="108"/>
      <c r="B101" s="109">
        <v>95</v>
      </c>
      <c r="C101" s="116">
        <f>26000*E2</f>
        <v>26000</v>
      </c>
      <c r="D101" s="108"/>
      <c r="E101" s="108"/>
      <c r="F101" s="108"/>
      <c r="G101" s="108"/>
      <c r="H101" s="108"/>
      <c r="I101" s="108"/>
      <c r="J101" s="108"/>
      <c r="K101" s="108"/>
    </row>
    <row r="102" spans="1:11" ht="12.75">
      <c r="A102" s="108"/>
      <c r="B102" s="109">
        <v>96</v>
      </c>
      <c r="C102" s="114">
        <f>26200*E2</f>
        <v>26200</v>
      </c>
      <c r="D102" s="108"/>
      <c r="E102" s="108"/>
      <c r="F102" s="108"/>
      <c r="G102" s="108"/>
      <c r="H102" s="108"/>
      <c r="I102" s="108"/>
      <c r="J102" s="108"/>
      <c r="K102" s="108"/>
    </row>
    <row r="103" spans="1:11" ht="12.75">
      <c r="A103" s="108"/>
      <c r="B103" s="109">
        <v>97</v>
      </c>
      <c r="C103" s="114">
        <f>26400*E2</f>
        <v>26400</v>
      </c>
      <c r="D103" s="108"/>
      <c r="E103" s="108"/>
      <c r="F103" s="108"/>
      <c r="G103" s="108"/>
      <c r="H103" s="108"/>
      <c r="I103" s="108"/>
      <c r="J103" s="108"/>
      <c r="K103" s="108"/>
    </row>
    <row r="104" spans="1:11" ht="12.75">
      <c r="A104" s="108"/>
      <c r="B104" s="109">
        <v>98</v>
      </c>
      <c r="C104" s="114">
        <f>26600*E2</f>
        <v>26600</v>
      </c>
      <c r="D104" s="108"/>
      <c r="E104" s="108"/>
      <c r="F104" s="108"/>
      <c r="G104" s="108"/>
      <c r="H104" s="108"/>
      <c r="I104" s="108"/>
      <c r="J104" s="108"/>
      <c r="K104" s="108"/>
    </row>
    <row r="105" spans="1:11" ht="12.75">
      <c r="A105" s="108"/>
      <c r="B105" s="109">
        <v>99</v>
      </c>
      <c r="C105" s="114">
        <f>26800*E2</f>
        <v>26800</v>
      </c>
      <c r="D105" s="108"/>
      <c r="E105" s="108"/>
      <c r="F105" s="108"/>
      <c r="G105" s="108"/>
      <c r="H105" s="108"/>
      <c r="I105" s="108"/>
      <c r="J105" s="108"/>
      <c r="K105" s="108"/>
    </row>
    <row r="106" spans="1:11" ht="12.75">
      <c r="A106" s="108"/>
      <c r="B106" s="109">
        <v>100</v>
      </c>
      <c r="C106" s="116">
        <f>27000*E2</f>
        <v>27000</v>
      </c>
      <c r="D106" s="108"/>
      <c r="E106" s="108"/>
      <c r="F106" s="108"/>
      <c r="G106" s="108"/>
      <c r="H106" s="108"/>
      <c r="I106" s="108"/>
      <c r="J106" s="108"/>
      <c r="K106" s="108"/>
    </row>
    <row r="107" spans="1:11" ht="12.75">
      <c r="A107" s="108"/>
      <c r="B107" s="109">
        <v>101</v>
      </c>
      <c r="C107" s="114">
        <f>27150*E2</f>
        <v>27150</v>
      </c>
      <c r="D107" s="108"/>
      <c r="E107" s="108"/>
      <c r="F107" s="108"/>
      <c r="G107" s="108"/>
      <c r="H107" s="108"/>
      <c r="I107" s="108"/>
      <c r="J107" s="108"/>
      <c r="K107" s="108"/>
    </row>
    <row r="108" spans="1:11" ht="12.75">
      <c r="A108" s="108"/>
      <c r="B108" s="109">
        <v>102</v>
      </c>
      <c r="C108" s="114">
        <f>27300*E2</f>
        <v>27300</v>
      </c>
      <c r="D108" s="108"/>
      <c r="E108" s="108"/>
      <c r="F108" s="108"/>
      <c r="G108" s="108"/>
      <c r="H108" s="108"/>
      <c r="I108" s="108"/>
      <c r="J108" s="108"/>
      <c r="K108" s="108"/>
    </row>
    <row r="109" spans="1:11" ht="12.75">
      <c r="A109" s="108"/>
      <c r="B109" s="109">
        <v>103</v>
      </c>
      <c r="C109" s="114">
        <f>27450*E2</f>
        <v>27450</v>
      </c>
      <c r="D109" s="108"/>
      <c r="E109" s="108"/>
      <c r="F109" s="108"/>
      <c r="G109" s="108"/>
      <c r="H109" s="108"/>
      <c r="I109" s="108"/>
      <c r="J109" s="108"/>
      <c r="K109" s="108"/>
    </row>
    <row r="110" spans="1:11" ht="12.75">
      <c r="A110" s="108"/>
      <c r="B110" s="109">
        <v>104</v>
      </c>
      <c r="C110" s="114">
        <f>27600*E2</f>
        <v>27600</v>
      </c>
      <c r="D110" s="108"/>
      <c r="E110" s="108"/>
      <c r="F110" s="108"/>
      <c r="G110" s="108"/>
      <c r="H110" s="108"/>
      <c r="I110" s="108"/>
      <c r="J110" s="108"/>
      <c r="K110" s="108"/>
    </row>
    <row r="111" spans="1:11" ht="12.75">
      <c r="A111" s="108"/>
      <c r="B111" s="109">
        <v>105</v>
      </c>
      <c r="C111" s="116">
        <f>27750*E2</f>
        <v>27750</v>
      </c>
      <c r="D111" s="108"/>
      <c r="E111" s="108"/>
      <c r="F111" s="108"/>
      <c r="G111" s="108"/>
      <c r="H111" s="108"/>
      <c r="I111" s="108"/>
      <c r="J111" s="108"/>
      <c r="K111" s="108"/>
    </row>
    <row r="112" spans="1:11" ht="12.75">
      <c r="A112" s="108"/>
      <c r="B112" s="109">
        <v>106</v>
      </c>
      <c r="C112" s="114">
        <f>27900*E2</f>
        <v>27900</v>
      </c>
      <c r="D112" s="108"/>
      <c r="E112" s="108"/>
      <c r="F112" s="108"/>
      <c r="G112" s="108"/>
      <c r="H112" s="108"/>
      <c r="I112" s="108"/>
      <c r="J112" s="108"/>
      <c r="K112" s="108"/>
    </row>
    <row r="113" spans="1:11" ht="12.75">
      <c r="A113" s="108"/>
      <c r="B113" s="109">
        <v>107</v>
      </c>
      <c r="C113" s="114">
        <f>28050*E2</f>
        <v>28050</v>
      </c>
      <c r="D113" s="108"/>
      <c r="E113" s="108"/>
      <c r="F113" s="108"/>
      <c r="G113" s="108"/>
      <c r="H113" s="108"/>
      <c r="I113" s="108"/>
      <c r="J113" s="108"/>
      <c r="K113" s="108"/>
    </row>
    <row r="114" spans="1:11" ht="12.75">
      <c r="A114" s="108"/>
      <c r="B114" s="109">
        <v>108</v>
      </c>
      <c r="C114" s="114">
        <f>28200*E2</f>
        <v>28200</v>
      </c>
      <c r="D114" s="108"/>
      <c r="E114" s="108"/>
      <c r="F114" s="108"/>
      <c r="G114" s="108"/>
      <c r="H114" s="108"/>
      <c r="I114" s="108"/>
      <c r="J114" s="108"/>
      <c r="K114" s="108"/>
    </row>
    <row r="115" spans="1:11" ht="12.75">
      <c r="A115" s="108"/>
      <c r="B115" s="109">
        <v>109</v>
      </c>
      <c r="C115" s="114">
        <f>28350*E2</f>
        <v>28350</v>
      </c>
      <c r="D115" s="108"/>
      <c r="E115" s="108"/>
      <c r="F115" s="108"/>
      <c r="G115" s="108"/>
      <c r="H115" s="108"/>
      <c r="I115" s="108"/>
      <c r="J115" s="108"/>
      <c r="K115" s="108"/>
    </row>
    <row r="116" spans="1:11" ht="12.75">
      <c r="A116" s="108"/>
      <c r="B116" s="109">
        <v>110</v>
      </c>
      <c r="C116" s="116">
        <f>28500*E2</f>
        <v>28500</v>
      </c>
      <c r="D116" s="108"/>
      <c r="E116" s="108"/>
      <c r="F116" s="108"/>
      <c r="G116" s="108"/>
      <c r="H116" s="108"/>
      <c r="I116" s="108"/>
      <c r="J116" s="108"/>
      <c r="K116" s="108"/>
    </row>
    <row r="117" spans="1:11" ht="12.75">
      <c r="A117" s="108"/>
      <c r="B117" s="109">
        <v>111</v>
      </c>
      <c r="C117" s="114">
        <f>28650*E2</f>
        <v>28650</v>
      </c>
      <c r="D117" s="108"/>
      <c r="E117" s="108"/>
      <c r="F117" s="108"/>
      <c r="G117" s="108"/>
      <c r="H117" s="108"/>
      <c r="I117" s="108"/>
      <c r="J117" s="108"/>
      <c r="K117" s="108"/>
    </row>
    <row r="118" spans="1:11" ht="12.75">
      <c r="A118" s="108"/>
      <c r="B118" s="109">
        <v>112</v>
      </c>
      <c r="C118" s="114">
        <f>28800*E2</f>
        <v>28800</v>
      </c>
      <c r="D118" s="108"/>
      <c r="E118" s="108"/>
      <c r="F118" s="108"/>
      <c r="G118" s="108"/>
      <c r="H118" s="108"/>
      <c r="I118" s="108"/>
      <c r="J118" s="108"/>
      <c r="K118" s="108"/>
    </row>
    <row r="119" spans="1:11" ht="12.75">
      <c r="A119" s="108"/>
      <c r="B119" s="109">
        <v>113</v>
      </c>
      <c r="C119" s="114">
        <f>28950*E2</f>
        <v>28950</v>
      </c>
      <c r="D119" s="108"/>
      <c r="E119" s="108"/>
      <c r="F119" s="108"/>
      <c r="G119" s="108"/>
      <c r="H119" s="108"/>
      <c r="I119" s="108"/>
      <c r="J119" s="108"/>
      <c r="K119" s="108"/>
    </row>
    <row r="120" spans="1:11" ht="12.75">
      <c r="A120" s="108"/>
      <c r="B120" s="109">
        <v>114</v>
      </c>
      <c r="C120" s="114">
        <f>29100*E2</f>
        <v>29100</v>
      </c>
      <c r="D120" s="108"/>
      <c r="E120" s="108"/>
      <c r="F120" s="108"/>
      <c r="G120" s="108"/>
      <c r="H120" s="108"/>
      <c r="I120" s="108"/>
      <c r="J120" s="108"/>
      <c r="K120" s="108"/>
    </row>
    <row r="121" spans="1:11" ht="12.75">
      <c r="A121" s="108"/>
      <c r="B121" s="109">
        <v>115</v>
      </c>
      <c r="C121" s="116">
        <f>29250*E2</f>
        <v>29250</v>
      </c>
      <c r="D121" s="108"/>
      <c r="E121" s="108"/>
      <c r="F121" s="108"/>
      <c r="G121" s="108"/>
      <c r="H121" s="108"/>
      <c r="I121" s="108"/>
      <c r="J121" s="108"/>
      <c r="K121" s="108"/>
    </row>
    <row r="122" spans="1:11" ht="12.75">
      <c r="A122" s="108"/>
      <c r="B122" s="109">
        <v>116</v>
      </c>
      <c r="C122" s="114">
        <f>29400*E2</f>
        <v>29400</v>
      </c>
      <c r="D122" s="108"/>
      <c r="E122" s="108"/>
      <c r="F122" s="108"/>
      <c r="G122" s="108"/>
      <c r="H122" s="108"/>
      <c r="I122" s="108"/>
      <c r="J122" s="108"/>
      <c r="K122" s="108"/>
    </row>
    <row r="123" spans="1:11" ht="12.75">
      <c r="A123" s="108"/>
      <c r="B123" s="109">
        <v>117</v>
      </c>
      <c r="C123" s="114">
        <f>29550*E2</f>
        <v>29550</v>
      </c>
      <c r="D123" s="108"/>
      <c r="E123" s="108"/>
      <c r="F123" s="108"/>
      <c r="G123" s="108"/>
      <c r="H123" s="108"/>
      <c r="I123" s="108"/>
      <c r="J123" s="108"/>
      <c r="K123" s="108"/>
    </row>
    <row r="124" spans="1:11" ht="12.75">
      <c r="A124" s="108"/>
      <c r="B124" s="109">
        <v>118</v>
      </c>
      <c r="C124" s="114">
        <f>29700*E2</f>
        <v>29700</v>
      </c>
      <c r="D124" s="108"/>
      <c r="E124" s="108"/>
      <c r="F124" s="108"/>
      <c r="G124" s="108"/>
      <c r="H124" s="108"/>
      <c r="I124" s="108"/>
      <c r="J124" s="108"/>
      <c r="K124" s="108"/>
    </row>
    <row r="125" spans="1:11" ht="12.75">
      <c r="A125" s="108"/>
      <c r="B125" s="109">
        <v>119</v>
      </c>
      <c r="C125" s="114">
        <f>29850*E2</f>
        <v>29850</v>
      </c>
      <c r="D125" s="108"/>
      <c r="E125" s="108"/>
      <c r="F125" s="108"/>
      <c r="G125" s="108"/>
      <c r="H125" s="108"/>
      <c r="I125" s="108"/>
      <c r="J125" s="108"/>
      <c r="K125" s="108"/>
    </row>
    <row r="126" spans="1:11" ht="12.75">
      <c r="A126" s="108"/>
      <c r="B126" s="109">
        <v>120</v>
      </c>
      <c r="C126" s="116">
        <f>30000*E2</f>
        <v>30000</v>
      </c>
      <c r="D126" s="108"/>
      <c r="E126" s="108"/>
      <c r="F126" s="108"/>
      <c r="G126" s="108"/>
      <c r="H126" s="108"/>
      <c r="I126" s="108"/>
      <c r="J126" s="108"/>
      <c r="K126" s="108"/>
    </row>
    <row r="127" spans="1:11" ht="12.75">
      <c r="A127" s="108"/>
      <c r="B127" s="109">
        <v>121</v>
      </c>
      <c r="C127" s="114">
        <f>30150*E2</f>
        <v>30150</v>
      </c>
      <c r="D127" s="108"/>
      <c r="E127" s="108"/>
      <c r="F127" s="108"/>
      <c r="G127" s="108"/>
      <c r="H127" s="108"/>
      <c r="I127" s="108"/>
      <c r="J127" s="108"/>
      <c r="K127" s="108"/>
    </row>
    <row r="128" spans="1:11" ht="12.75">
      <c r="A128" s="108"/>
      <c r="B128" s="109">
        <v>122</v>
      </c>
      <c r="C128" s="114">
        <f>30300*E2</f>
        <v>30300</v>
      </c>
      <c r="D128" s="108"/>
      <c r="E128" s="108"/>
      <c r="F128" s="108"/>
      <c r="G128" s="108"/>
      <c r="H128" s="108"/>
      <c r="I128" s="108"/>
      <c r="J128" s="108"/>
      <c r="K128" s="108"/>
    </row>
    <row r="129" spans="1:11" ht="12.75">
      <c r="A129" s="108"/>
      <c r="B129" s="109">
        <v>123</v>
      </c>
      <c r="C129" s="114">
        <f>30450*E2</f>
        <v>30450</v>
      </c>
      <c r="D129" s="108"/>
      <c r="E129" s="108"/>
      <c r="F129" s="108"/>
      <c r="G129" s="108"/>
      <c r="H129" s="108"/>
      <c r="I129" s="108"/>
      <c r="J129" s="108"/>
      <c r="K129" s="108"/>
    </row>
    <row r="130" spans="1:11" ht="12.75">
      <c r="A130" s="108"/>
      <c r="B130" s="109">
        <v>124</v>
      </c>
      <c r="C130" s="114">
        <f>30600*E2</f>
        <v>30600</v>
      </c>
      <c r="D130" s="108"/>
      <c r="E130" s="108"/>
      <c r="F130" s="108"/>
      <c r="G130" s="108"/>
      <c r="H130" s="108"/>
      <c r="I130" s="108"/>
      <c r="J130" s="108"/>
      <c r="K130" s="108"/>
    </row>
    <row r="131" spans="1:11" ht="12.75">
      <c r="A131" s="108"/>
      <c r="B131" s="109">
        <v>125</v>
      </c>
      <c r="C131" s="116">
        <f>30750*E2</f>
        <v>30750</v>
      </c>
      <c r="D131" s="108"/>
      <c r="E131" s="108"/>
      <c r="F131" s="108"/>
      <c r="G131" s="108"/>
      <c r="H131" s="108"/>
      <c r="I131" s="108"/>
      <c r="J131" s="108"/>
      <c r="K131" s="108"/>
    </row>
    <row r="132" spans="1:11" ht="12.75">
      <c r="A132" s="108"/>
      <c r="B132" s="109">
        <v>126</v>
      </c>
      <c r="C132" s="114">
        <f>30900*E2</f>
        <v>30900</v>
      </c>
      <c r="D132" s="108"/>
      <c r="E132" s="108"/>
      <c r="F132" s="108"/>
      <c r="G132" s="108"/>
      <c r="H132" s="108"/>
      <c r="I132" s="108"/>
      <c r="J132" s="108"/>
      <c r="K132" s="108"/>
    </row>
    <row r="133" spans="1:11" ht="12.75">
      <c r="A133" s="108"/>
      <c r="B133" s="109">
        <v>127</v>
      </c>
      <c r="C133" s="114">
        <f>31050*E2</f>
        <v>31050</v>
      </c>
      <c r="D133" s="108"/>
      <c r="E133" s="108"/>
      <c r="F133" s="108"/>
      <c r="G133" s="108"/>
      <c r="H133" s="108"/>
      <c r="I133" s="108"/>
      <c r="J133" s="108"/>
      <c r="K133" s="108"/>
    </row>
    <row r="134" spans="1:11" ht="12.75">
      <c r="A134" s="108"/>
      <c r="B134" s="109">
        <v>128</v>
      </c>
      <c r="C134" s="114">
        <f>31200*E2</f>
        <v>31200</v>
      </c>
      <c r="D134" s="108"/>
      <c r="E134" s="108"/>
      <c r="F134" s="108"/>
      <c r="G134" s="108"/>
      <c r="H134" s="108"/>
      <c r="I134" s="108"/>
      <c r="J134" s="108"/>
      <c r="K134" s="108"/>
    </row>
    <row r="135" spans="1:11" ht="12.75">
      <c r="A135" s="108"/>
      <c r="B135" s="109">
        <v>129</v>
      </c>
      <c r="C135" s="114">
        <f>31350*E2</f>
        <v>31350</v>
      </c>
      <c r="D135" s="108"/>
      <c r="E135" s="108"/>
      <c r="F135" s="108"/>
      <c r="G135" s="108"/>
      <c r="H135" s="108"/>
      <c r="I135" s="108"/>
      <c r="J135" s="108"/>
      <c r="K135" s="108"/>
    </row>
    <row r="136" spans="1:11" ht="12.75">
      <c r="A136" s="108"/>
      <c r="B136" s="109">
        <v>130</v>
      </c>
      <c r="C136" s="116">
        <f>31500*E2</f>
        <v>31500</v>
      </c>
      <c r="D136" s="108"/>
      <c r="E136" s="108"/>
      <c r="F136" s="108"/>
      <c r="G136" s="108"/>
      <c r="H136" s="108"/>
      <c r="I136" s="108"/>
      <c r="J136" s="108"/>
      <c r="K136" s="108"/>
    </row>
    <row r="137" spans="1:11" ht="12.75">
      <c r="A137" s="108"/>
      <c r="B137" s="109">
        <v>131</v>
      </c>
      <c r="C137" s="114">
        <f>31650*E2</f>
        <v>31650</v>
      </c>
      <c r="D137" s="108"/>
      <c r="E137" s="108"/>
      <c r="F137" s="108"/>
      <c r="G137" s="108"/>
      <c r="H137" s="108"/>
      <c r="I137" s="108"/>
      <c r="J137" s="108"/>
      <c r="K137" s="108"/>
    </row>
    <row r="138" spans="1:11" ht="12.75">
      <c r="A138" s="108"/>
      <c r="B138" s="109">
        <v>132</v>
      </c>
      <c r="C138" s="114">
        <f>31800*E2</f>
        <v>31800</v>
      </c>
      <c r="D138" s="108"/>
      <c r="E138" s="108"/>
      <c r="F138" s="108"/>
      <c r="G138" s="108"/>
      <c r="H138" s="108"/>
      <c r="I138" s="108"/>
      <c r="J138" s="108"/>
      <c r="K138" s="108"/>
    </row>
    <row r="139" spans="1:11" ht="12.75">
      <c r="A139" s="108"/>
      <c r="B139" s="109">
        <v>133</v>
      </c>
      <c r="C139" s="114">
        <f>31950*E2</f>
        <v>31950</v>
      </c>
      <c r="D139" s="108"/>
      <c r="E139" s="108"/>
      <c r="F139" s="108"/>
      <c r="G139" s="108"/>
      <c r="H139" s="108"/>
      <c r="I139" s="108"/>
      <c r="J139" s="108"/>
      <c r="K139" s="108"/>
    </row>
    <row r="140" spans="1:11" ht="12.75">
      <c r="A140" s="108"/>
      <c r="B140" s="109">
        <v>134</v>
      </c>
      <c r="C140" s="114">
        <f>32100*E2</f>
        <v>32100</v>
      </c>
      <c r="D140" s="108"/>
      <c r="E140" s="108"/>
      <c r="F140" s="108"/>
      <c r="G140" s="108"/>
      <c r="H140" s="108"/>
      <c r="I140" s="108"/>
      <c r="J140" s="108"/>
      <c r="K140" s="108"/>
    </row>
    <row r="141" spans="1:11" ht="12.75">
      <c r="A141" s="108"/>
      <c r="B141" s="109">
        <v>135</v>
      </c>
      <c r="C141" s="116">
        <f>32250*E2</f>
        <v>32250</v>
      </c>
      <c r="D141" s="108"/>
      <c r="E141" s="108"/>
      <c r="F141" s="108"/>
      <c r="G141" s="108"/>
      <c r="H141" s="108"/>
      <c r="I141" s="108"/>
      <c r="J141" s="108"/>
      <c r="K141" s="108"/>
    </row>
    <row r="142" spans="1:11" ht="12.75">
      <c r="A142" s="108"/>
      <c r="B142" s="109">
        <v>136</v>
      </c>
      <c r="C142" s="114">
        <f>32400*E2</f>
        <v>32400</v>
      </c>
      <c r="D142" s="108"/>
      <c r="E142" s="108"/>
      <c r="F142" s="108"/>
      <c r="G142" s="108"/>
      <c r="H142" s="108"/>
      <c r="I142" s="108"/>
      <c r="J142" s="108"/>
      <c r="K142" s="108"/>
    </row>
    <row r="143" spans="1:11" ht="12.75">
      <c r="A143" s="108"/>
      <c r="B143" s="109">
        <v>137</v>
      </c>
      <c r="C143" s="114">
        <f>32550*E2</f>
        <v>32550</v>
      </c>
      <c r="D143" s="108"/>
      <c r="E143" s="108"/>
      <c r="F143" s="108"/>
      <c r="G143" s="108"/>
      <c r="H143" s="108"/>
      <c r="I143" s="108"/>
      <c r="J143" s="108"/>
      <c r="K143" s="108"/>
    </row>
    <row r="144" spans="1:11" ht="12.75">
      <c r="A144" s="108"/>
      <c r="B144" s="109">
        <v>138</v>
      </c>
      <c r="C144" s="114">
        <f>32700*E2</f>
        <v>32700</v>
      </c>
      <c r="D144" s="108"/>
      <c r="E144" s="108"/>
      <c r="F144" s="108"/>
      <c r="G144" s="108"/>
      <c r="H144" s="108"/>
      <c r="I144" s="108"/>
      <c r="J144" s="108"/>
      <c r="K144" s="108"/>
    </row>
    <row r="145" spans="1:11" ht="12.75">
      <c r="A145" s="108"/>
      <c r="B145" s="109">
        <v>139</v>
      </c>
      <c r="C145" s="114">
        <f>32850*E2</f>
        <v>32850</v>
      </c>
      <c r="D145" s="108"/>
      <c r="E145" s="108"/>
      <c r="F145" s="108"/>
      <c r="G145" s="108"/>
      <c r="H145" s="108"/>
      <c r="I145" s="108"/>
      <c r="J145" s="108"/>
      <c r="K145" s="108"/>
    </row>
    <row r="146" spans="1:11" ht="12.75">
      <c r="A146" s="108"/>
      <c r="B146" s="109">
        <v>140</v>
      </c>
      <c r="C146" s="116">
        <f>33000*E2</f>
        <v>33000</v>
      </c>
      <c r="D146" s="108"/>
      <c r="E146" s="108"/>
      <c r="F146" s="108"/>
      <c r="G146" s="108"/>
      <c r="H146" s="108"/>
      <c r="I146" s="108"/>
      <c r="J146" s="108"/>
      <c r="K146" s="108"/>
    </row>
    <row r="147" spans="1:11" ht="12.75">
      <c r="A147" s="108"/>
      <c r="B147" s="109">
        <v>141</v>
      </c>
      <c r="C147" s="114">
        <f>33150*E2</f>
        <v>33150</v>
      </c>
      <c r="D147" s="108"/>
      <c r="E147" s="108"/>
      <c r="F147" s="108"/>
      <c r="G147" s="108"/>
      <c r="H147" s="108"/>
      <c r="I147" s="108"/>
      <c r="J147" s="108"/>
      <c r="K147" s="108"/>
    </row>
    <row r="148" spans="1:11" ht="12.75">
      <c r="A148" s="108"/>
      <c r="B148" s="109">
        <v>142</v>
      </c>
      <c r="C148" s="114">
        <f>33300*E2</f>
        <v>33300</v>
      </c>
      <c r="D148" s="108"/>
      <c r="E148" s="108"/>
      <c r="F148" s="108"/>
      <c r="G148" s="108"/>
      <c r="H148" s="108"/>
      <c r="I148" s="108"/>
      <c r="J148" s="108"/>
      <c r="K148" s="108"/>
    </row>
    <row r="149" spans="1:11" ht="12.75">
      <c r="A149" s="108"/>
      <c r="B149" s="109">
        <v>143</v>
      </c>
      <c r="C149" s="114">
        <f>33450*E2</f>
        <v>33450</v>
      </c>
      <c r="D149" s="108"/>
      <c r="E149" s="108"/>
      <c r="F149" s="108"/>
      <c r="G149" s="108"/>
      <c r="H149" s="108"/>
      <c r="I149" s="108"/>
      <c r="J149" s="108"/>
      <c r="K149" s="108"/>
    </row>
    <row r="150" spans="1:11" ht="12.75">
      <c r="A150" s="108"/>
      <c r="B150" s="109">
        <v>144</v>
      </c>
      <c r="C150" s="114">
        <f>33600*E2</f>
        <v>33600</v>
      </c>
      <c r="D150" s="108"/>
      <c r="E150" s="108"/>
      <c r="F150" s="108"/>
      <c r="G150" s="108"/>
      <c r="H150" s="108"/>
      <c r="I150" s="108"/>
      <c r="J150" s="108"/>
      <c r="K150" s="108"/>
    </row>
    <row r="151" spans="1:11" ht="12.75">
      <c r="A151" s="108"/>
      <c r="B151" s="109">
        <v>145</v>
      </c>
      <c r="C151" s="116">
        <f>33750*E2</f>
        <v>33750</v>
      </c>
      <c r="D151" s="108"/>
      <c r="E151" s="108"/>
      <c r="F151" s="108"/>
      <c r="G151" s="108"/>
      <c r="H151" s="108"/>
      <c r="I151" s="108"/>
      <c r="J151" s="108"/>
      <c r="K151" s="108"/>
    </row>
    <row r="152" spans="1:11" ht="12.75">
      <c r="A152" s="108"/>
      <c r="B152" s="109">
        <v>146</v>
      </c>
      <c r="C152" s="114">
        <f>33900*E2</f>
        <v>33900</v>
      </c>
      <c r="D152" s="108"/>
      <c r="E152" s="108"/>
      <c r="F152" s="108"/>
      <c r="G152" s="108"/>
      <c r="H152" s="108"/>
      <c r="I152" s="108"/>
      <c r="J152" s="108"/>
      <c r="K152" s="108"/>
    </row>
    <row r="153" spans="1:11" ht="12.75">
      <c r="A153" s="108"/>
      <c r="B153" s="109">
        <v>147</v>
      </c>
      <c r="C153" s="114">
        <f>34050*E2</f>
        <v>34050</v>
      </c>
      <c r="D153" s="108"/>
      <c r="E153" s="108"/>
      <c r="F153" s="108"/>
      <c r="G153" s="108"/>
      <c r="H153" s="108"/>
      <c r="I153" s="108"/>
      <c r="J153" s="108"/>
      <c r="K153" s="108"/>
    </row>
    <row r="154" spans="1:11" ht="12.75">
      <c r="A154" s="108"/>
      <c r="B154" s="109">
        <v>148</v>
      </c>
      <c r="C154" s="114">
        <f>34200*E2</f>
        <v>34200</v>
      </c>
      <c r="D154" s="108"/>
      <c r="E154" s="108"/>
      <c r="F154" s="108"/>
      <c r="G154" s="108"/>
      <c r="H154" s="108"/>
      <c r="I154" s="108"/>
      <c r="J154" s="108"/>
      <c r="K154" s="108"/>
    </row>
    <row r="155" spans="1:11" ht="12.75">
      <c r="A155" s="108"/>
      <c r="B155" s="109">
        <v>149</v>
      </c>
      <c r="C155" s="114">
        <f>34350*E2</f>
        <v>34350</v>
      </c>
      <c r="D155" s="108"/>
      <c r="E155" s="108"/>
      <c r="F155" s="108"/>
      <c r="G155" s="108"/>
      <c r="H155" s="108"/>
      <c r="I155" s="108"/>
      <c r="J155" s="108"/>
      <c r="K155" s="108"/>
    </row>
    <row r="156" spans="1:11" ht="12.75">
      <c r="A156" s="108"/>
      <c r="B156" s="109">
        <v>150</v>
      </c>
      <c r="C156" s="116">
        <f>34500*E2</f>
        <v>34500</v>
      </c>
      <c r="D156" s="108"/>
      <c r="E156" s="108"/>
      <c r="F156" s="108"/>
      <c r="G156" s="108"/>
      <c r="H156" s="108"/>
      <c r="I156" s="108"/>
      <c r="J156" s="108"/>
      <c r="K156" s="108"/>
    </row>
    <row r="157" spans="1:11" ht="12.75">
      <c r="A157" s="108"/>
      <c r="B157" s="109">
        <v>151</v>
      </c>
      <c r="C157" s="114">
        <f>34650*E2</f>
        <v>34650</v>
      </c>
      <c r="D157" s="108"/>
      <c r="E157" s="108"/>
      <c r="F157" s="108"/>
      <c r="G157" s="108"/>
      <c r="H157" s="108"/>
      <c r="I157" s="108"/>
      <c r="J157" s="108"/>
      <c r="K157" s="108"/>
    </row>
    <row r="158" spans="1:11" ht="12.75">
      <c r="A158" s="108"/>
      <c r="B158" s="109">
        <v>152</v>
      </c>
      <c r="C158" s="114">
        <f>34800*E2</f>
        <v>34800</v>
      </c>
      <c r="D158" s="108"/>
      <c r="E158" s="108"/>
      <c r="F158" s="108"/>
      <c r="G158" s="108"/>
      <c r="H158" s="108"/>
      <c r="I158" s="108"/>
      <c r="J158" s="108"/>
      <c r="K158" s="108"/>
    </row>
    <row r="159" spans="1:11" ht="12.75">
      <c r="A159" s="108"/>
      <c r="B159" s="109">
        <v>153</v>
      </c>
      <c r="C159" s="114">
        <f>34950*E2</f>
        <v>34950</v>
      </c>
      <c r="D159" s="108"/>
      <c r="E159" s="108"/>
      <c r="F159" s="108"/>
      <c r="G159" s="108"/>
      <c r="H159" s="108"/>
      <c r="I159" s="108"/>
      <c r="J159" s="108"/>
      <c r="K159" s="108"/>
    </row>
    <row r="160" spans="1:11" ht="12.75">
      <c r="A160" s="108"/>
      <c r="B160" s="109">
        <v>154</v>
      </c>
      <c r="C160" s="114">
        <f>35100*E2</f>
        <v>35100</v>
      </c>
      <c r="D160" s="108"/>
      <c r="E160" s="108"/>
      <c r="F160" s="108"/>
      <c r="G160" s="108"/>
      <c r="H160" s="108"/>
      <c r="I160" s="108"/>
      <c r="J160" s="108"/>
      <c r="K160" s="108"/>
    </row>
    <row r="161" spans="1:11" ht="12.75">
      <c r="A161" s="108"/>
      <c r="B161" s="109">
        <v>155</v>
      </c>
      <c r="C161" s="116">
        <f>35250*E2</f>
        <v>35250</v>
      </c>
      <c r="D161" s="108"/>
      <c r="E161" s="108"/>
      <c r="F161" s="108"/>
      <c r="G161" s="108"/>
      <c r="H161" s="108"/>
      <c r="I161" s="108"/>
      <c r="J161" s="108"/>
      <c r="K161" s="108"/>
    </row>
    <row r="162" spans="1:11" ht="12.75">
      <c r="A162" s="108"/>
      <c r="B162" s="109">
        <v>156</v>
      </c>
      <c r="C162" s="114">
        <f>35400*E2</f>
        <v>35400</v>
      </c>
      <c r="D162" s="108"/>
      <c r="E162" s="108"/>
      <c r="F162" s="108"/>
      <c r="G162" s="108"/>
      <c r="H162" s="108"/>
      <c r="I162" s="108"/>
      <c r="J162" s="108"/>
      <c r="K162" s="108"/>
    </row>
    <row r="163" spans="1:11" ht="12.75">
      <c r="A163" s="108"/>
      <c r="B163" s="109">
        <v>157</v>
      </c>
      <c r="C163" s="114">
        <f>35550*E2</f>
        <v>35550</v>
      </c>
      <c r="D163" s="108"/>
      <c r="E163" s="108"/>
      <c r="F163" s="108"/>
      <c r="G163" s="108"/>
      <c r="H163" s="108"/>
      <c r="I163" s="108"/>
      <c r="J163" s="108"/>
      <c r="K163" s="108"/>
    </row>
    <row r="164" spans="1:11" ht="12.75">
      <c r="A164" s="108"/>
      <c r="B164" s="109">
        <v>158</v>
      </c>
      <c r="C164" s="114">
        <f>35700*E2</f>
        <v>35700</v>
      </c>
      <c r="D164" s="108"/>
      <c r="E164" s="108"/>
      <c r="F164" s="108"/>
      <c r="G164" s="108"/>
      <c r="H164" s="108"/>
      <c r="I164" s="108"/>
      <c r="J164" s="108"/>
      <c r="K164" s="108"/>
    </row>
    <row r="165" spans="1:11" ht="12.75">
      <c r="A165" s="108"/>
      <c r="B165" s="109">
        <v>159</v>
      </c>
      <c r="C165" s="114">
        <f>35850*E2</f>
        <v>35850</v>
      </c>
      <c r="D165" s="108"/>
      <c r="E165" s="108"/>
      <c r="F165" s="108"/>
      <c r="G165" s="108"/>
      <c r="H165" s="108"/>
      <c r="I165" s="108"/>
      <c r="J165" s="108"/>
      <c r="K165" s="108"/>
    </row>
    <row r="166" spans="1:11" ht="12.75">
      <c r="A166" s="108"/>
      <c r="B166" s="109">
        <v>160</v>
      </c>
      <c r="C166" s="116">
        <f>36000*E2</f>
        <v>36000</v>
      </c>
      <c r="D166" s="108"/>
      <c r="E166" s="108"/>
      <c r="F166" s="108"/>
      <c r="G166" s="108"/>
      <c r="H166" s="108"/>
      <c r="I166" s="108"/>
      <c r="J166" s="108"/>
      <c r="K166" s="108"/>
    </row>
    <row r="167" spans="1:11" ht="12.75">
      <c r="A167" s="108"/>
      <c r="B167" s="109">
        <v>161</v>
      </c>
      <c r="C167" s="123">
        <f>36150*E2</f>
        <v>36150</v>
      </c>
      <c r="D167" s="108"/>
      <c r="E167" s="108"/>
      <c r="F167" s="108"/>
      <c r="G167" s="108"/>
      <c r="H167" s="108"/>
      <c r="I167" s="108"/>
      <c r="J167" s="108"/>
      <c r="K167" s="108"/>
    </row>
    <row r="168" spans="1:11" ht="12.75">
      <c r="A168" s="108"/>
      <c r="B168" s="109">
        <v>162</v>
      </c>
      <c r="C168" s="123">
        <f>36300*E2</f>
        <v>36300</v>
      </c>
      <c r="D168" s="108"/>
      <c r="E168" s="108"/>
      <c r="F168" s="108"/>
      <c r="G168" s="108"/>
      <c r="H168" s="108"/>
      <c r="I168" s="108"/>
      <c r="J168" s="108"/>
      <c r="K168" s="108"/>
    </row>
    <row r="169" spans="1:11" ht="12.75">
      <c r="A169" s="108"/>
      <c r="B169" s="109">
        <v>163</v>
      </c>
      <c r="C169" s="114">
        <f>36450*E2</f>
        <v>36450</v>
      </c>
      <c r="D169" s="108"/>
      <c r="E169" s="108"/>
      <c r="F169" s="108"/>
      <c r="G169" s="108"/>
      <c r="H169" s="108"/>
      <c r="I169" s="108"/>
      <c r="J169" s="108"/>
      <c r="K169" s="108"/>
    </row>
    <row r="170" spans="1:11" ht="12.75">
      <c r="A170" s="108"/>
      <c r="B170" s="109">
        <v>164</v>
      </c>
      <c r="C170" s="114">
        <f>36600*E2</f>
        <v>36600</v>
      </c>
      <c r="D170" s="108"/>
      <c r="E170" s="108"/>
      <c r="F170" s="108"/>
      <c r="G170" s="108"/>
      <c r="H170" s="108"/>
      <c r="I170" s="108"/>
      <c r="J170" s="108"/>
      <c r="K170" s="108"/>
    </row>
    <row r="171" spans="1:11" ht="12.75">
      <c r="A171" s="108"/>
      <c r="B171" s="109">
        <v>165</v>
      </c>
      <c r="C171" s="116">
        <f>36750*E2</f>
        <v>36750</v>
      </c>
      <c r="D171" s="108"/>
      <c r="E171" s="108"/>
      <c r="F171" s="108"/>
      <c r="G171" s="108"/>
      <c r="H171" s="108"/>
      <c r="I171" s="108"/>
      <c r="J171" s="108"/>
      <c r="K171" s="108"/>
    </row>
    <row r="172" spans="1:11" ht="12.75">
      <c r="A172" s="108"/>
      <c r="B172" s="109">
        <v>166</v>
      </c>
      <c r="C172" s="114">
        <f>36900*E2</f>
        <v>36900</v>
      </c>
      <c r="D172" s="108"/>
      <c r="E172" s="108"/>
      <c r="F172" s="108"/>
      <c r="G172" s="108"/>
      <c r="H172" s="108"/>
      <c r="I172" s="108"/>
      <c r="J172" s="108"/>
      <c r="K172" s="108"/>
    </row>
    <row r="173" spans="1:11" ht="12.75">
      <c r="A173" s="108"/>
      <c r="B173" s="109">
        <v>167</v>
      </c>
      <c r="C173" s="114">
        <f>37050*E2</f>
        <v>37050</v>
      </c>
      <c r="D173" s="108"/>
      <c r="E173" s="108"/>
      <c r="F173" s="108"/>
      <c r="G173" s="108"/>
      <c r="H173" s="108"/>
      <c r="I173" s="108"/>
      <c r="J173" s="108"/>
      <c r="K173" s="108"/>
    </row>
    <row r="174" spans="1:11" ht="12.75">
      <c r="A174" s="108"/>
      <c r="B174" s="109">
        <v>168</v>
      </c>
      <c r="C174" s="114">
        <f>37200*E2</f>
        <v>37200</v>
      </c>
      <c r="D174" s="108"/>
      <c r="E174" s="108"/>
      <c r="F174" s="108"/>
      <c r="G174" s="108"/>
      <c r="H174" s="108"/>
      <c r="I174" s="108"/>
      <c r="J174" s="108"/>
      <c r="K174" s="108"/>
    </row>
    <row r="175" spans="1:11" ht="12.75">
      <c r="A175" s="108"/>
      <c r="B175" s="109">
        <v>169</v>
      </c>
      <c r="C175" s="114">
        <f>37350*E2</f>
        <v>37350</v>
      </c>
      <c r="D175" s="108"/>
      <c r="E175" s="108"/>
      <c r="F175" s="108"/>
      <c r="G175" s="108"/>
      <c r="H175" s="108"/>
      <c r="I175" s="108"/>
      <c r="J175" s="108"/>
      <c r="K175" s="108"/>
    </row>
    <row r="176" spans="1:11" ht="12.75">
      <c r="A176" s="108"/>
      <c r="B176" s="109">
        <v>170</v>
      </c>
      <c r="C176" s="116">
        <f>37500*E2</f>
        <v>37500</v>
      </c>
      <c r="D176" s="108"/>
      <c r="E176" s="108"/>
      <c r="F176" s="108"/>
      <c r="G176" s="108"/>
      <c r="H176" s="108"/>
      <c r="I176" s="108"/>
      <c r="J176" s="108"/>
      <c r="K176" s="108"/>
    </row>
    <row r="177" spans="1:11" ht="12.75">
      <c r="A177" s="108"/>
      <c r="B177" s="109">
        <v>171</v>
      </c>
      <c r="C177" s="114">
        <f>37650*E2</f>
        <v>37650</v>
      </c>
      <c r="D177" s="108"/>
      <c r="E177" s="108"/>
      <c r="F177" s="108"/>
      <c r="G177" s="108"/>
      <c r="H177" s="108"/>
      <c r="I177" s="108"/>
      <c r="J177" s="108"/>
      <c r="K177" s="108"/>
    </row>
    <row r="178" spans="1:11" ht="12.75">
      <c r="A178" s="108"/>
      <c r="B178" s="109">
        <v>172</v>
      </c>
      <c r="C178" s="114">
        <f>37800*E2</f>
        <v>37800</v>
      </c>
      <c r="D178" s="108"/>
      <c r="E178" s="108"/>
      <c r="F178" s="108"/>
      <c r="G178" s="108"/>
      <c r="H178" s="108"/>
      <c r="I178" s="108"/>
      <c r="J178" s="108"/>
      <c r="K178" s="108"/>
    </row>
    <row r="179" spans="1:11" ht="12.75">
      <c r="A179" s="108"/>
      <c r="B179" s="109">
        <v>173</v>
      </c>
      <c r="C179" s="114">
        <f>37950*E2</f>
        <v>37950</v>
      </c>
      <c r="D179" s="108"/>
      <c r="E179" s="108"/>
      <c r="F179" s="108"/>
      <c r="G179" s="108"/>
      <c r="H179" s="108"/>
      <c r="I179" s="108"/>
      <c r="J179" s="108"/>
      <c r="K179" s="108"/>
    </row>
    <row r="180" spans="1:11" ht="12.75">
      <c r="A180" s="108"/>
      <c r="B180" s="109">
        <v>174</v>
      </c>
      <c r="C180" s="114">
        <f>38100*E2</f>
        <v>38100</v>
      </c>
      <c r="D180" s="108"/>
      <c r="E180" s="108"/>
      <c r="F180" s="108"/>
      <c r="G180" s="108"/>
      <c r="H180" s="108"/>
      <c r="I180" s="108"/>
      <c r="J180" s="108"/>
      <c r="K180" s="108"/>
    </row>
    <row r="181" spans="1:11" ht="12.75">
      <c r="A181" s="108"/>
      <c r="B181" s="109">
        <v>175</v>
      </c>
      <c r="C181" s="116">
        <f>38250*E2</f>
        <v>38250</v>
      </c>
      <c r="D181" s="108"/>
      <c r="E181" s="108"/>
      <c r="F181" s="108"/>
      <c r="G181" s="108"/>
      <c r="H181" s="108"/>
      <c r="I181" s="108"/>
      <c r="J181" s="108"/>
      <c r="K181" s="108"/>
    </row>
    <row r="182" spans="1:11" ht="12.75">
      <c r="A182" s="108"/>
      <c r="B182" s="109">
        <v>176</v>
      </c>
      <c r="C182" s="114">
        <f>38400*E2</f>
        <v>38400</v>
      </c>
      <c r="D182" s="108"/>
      <c r="E182" s="108"/>
      <c r="F182" s="108"/>
      <c r="G182" s="108"/>
      <c r="H182" s="108"/>
      <c r="I182" s="108"/>
      <c r="J182" s="108"/>
      <c r="K182" s="108"/>
    </row>
    <row r="183" spans="1:11" ht="12.75">
      <c r="A183" s="108"/>
      <c r="B183" s="109">
        <v>177</v>
      </c>
      <c r="C183" s="114">
        <f>38550*E2</f>
        <v>38550</v>
      </c>
      <c r="D183" s="108"/>
      <c r="E183" s="108"/>
      <c r="F183" s="108"/>
      <c r="G183" s="108"/>
      <c r="H183" s="108"/>
      <c r="I183" s="108"/>
      <c r="J183" s="108"/>
      <c r="K183" s="108"/>
    </row>
    <row r="184" spans="1:11" ht="12.75">
      <c r="A184" s="108"/>
      <c r="B184" s="109">
        <v>178</v>
      </c>
      <c r="C184" s="114">
        <f>38700*E2</f>
        <v>38700</v>
      </c>
      <c r="D184" s="108"/>
      <c r="E184" s="108"/>
      <c r="F184" s="108"/>
      <c r="G184" s="108"/>
      <c r="H184" s="108"/>
      <c r="I184" s="108"/>
      <c r="J184" s="108"/>
      <c r="K184" s="108"/>
    </row>
    <row r="185" spans="1:11" ht="12.75">
      <c r="A185" s="108"/>
      <c r="B185" s="109">
        <v>179</v>
      </c>
      <c r="C185" s="114">
        <f>38850*E2</f>
        <v>38850</v>
      </c>
      <c r="D185" s="108"/>
      <c r="E185" s="108"/>
      <c r="F185" s="108"/>
      <c r="G185" s="108"/>
      <c r="H185" s="108"/>
      <c r="I185" s="108"/>
      <c r="J185" s="108"/>
      <c r="K185" s="108"/>
    </row>
    <row r="186" spans="1:11" ht="12.75">
      <c r="A186" s="108"/>
      <c r="B186" s="109">
        <v>180</v>
      </c>
      <c r="C186" s="116">
        <f>39000*E2</f>
        <v>39000</v>
      </c>
      <c r="D186" s="108"/>
      <c r="E186" s="108"/>
      <c r="F186" s="108"/>
      <c r="G186" s="108"/>
      <c r="H186" s="108"/>
      <c r="I186" s="108"/>
      <c r="J186" s="108"/>
      <c r="K186" s="108"/>
    </row>
    <row r="187" spans="1:11" ht="12.75">
      <c r="A187" s="108"/>
      <c r="B187" s="109">
        <v>181</v>
      </c>
      <c r="C187" s="114">
        <f>39150*E2</f>
        <v>39150</v>
      </c>
      <c r="D187" s="108"/>
      <c r="E187" s="108"/>
      <c r="F187" s="108"/>
      <c r="G187" s="108"/>
      <c r="H187" s="108"/>
      <c r="I187" s="108"/>
      <c r="J187" s="108"/>
      <c r="K187" s="108"/>
    </row>
    <row r="188" spans="1:11" ht="12.75">
      <c r="A188" s="108"/>
      <c r="B188" s="109">
        <v>182</v>
      </c>
      <c r="C188" s="114">
        <f>39300*E2</f>
        <v>39300</v>
      </c>
      <c r="D188" s="108"/>
      <c r="E188" s="108"/>
      <c r="F188" s="108"/>
      <c r="G188" s="108"/>
      <c r="H188" s="108"/>
      <c r="I188" s="108"/>
      <c r="J188" s="108"/>
      <c r="K188" s="108"/>
    </row>
    <row r="189" spans="1:11" ht="12.75">
      <c r="A189" s="108"/>
      <c r="B189" s="109">
        <v>183</v>
      </c>
      <c r="C189" s="114">
        <f>39450*E2</f>
        <v>39450</v>
      </c>
      <c r="D189" s="108"/>
      <c r="E189" s="108"/>
      <c r="F189" s="108"/>
      <c r="G189" s="108"/>
      <c r="H189" s="108"/>
      <c r="I189" s="108"/>
      <c r="J189" s="108"/>
      <c r="K189" s="108"/>
    </row>
    <row r="190" spans="1:11" ht="12.75">
      <c r="A190" s="108"/>
      <c r="B190" s="109">
        <v>184</v>
      </c>
      <c r="C190" s="114">
        <f>39600*E2</f>
        <v>39600</v>
      </c>
      <c r="D190" s="108"/>
      <c r="E190" s="108"/>
      <c r="F190" s="108"/>
      <c r="G190" s="108"/>
      <c r="H190" s="108"/>
      <c r="I190" s="108"/>
      <c r="J190" s="108"/>
      <c r="K190" s="108"/>
    </row>
    <row r="191" spans="1:11" ht="12.75">
      <c r="A191" s="108"/>
      <c r="B191" s="109">
        <v>185</v>
      </c>
      <c r="C191" s="116">
        <f>39750*E2</f>
        <v>39750</v>
      </c>
      <c r="D191" s="108"/>
      <c r="E191" s="108"/>
      <c r="F191" s="108"/>
      <c r="G191" s="108"/>
      <c r="H191" s="108"/>
      <c r="I191" s="108"/>
      <c r="J191" s="108"/>
      <c r="K191" s="108"/>
    </row>
    <row r="192" spans="1:11" ht="12.75">
      <c r="A192" s="108"/>
      <c r="B192" s="109">
        <v>186</v>
      </c>
      <c r="C192" s="114">
        <f>39900*E2</f>
        <v>39900</v>
      </c>
      <c r="D192" s="108"/>
      <c r="E192" s="108"/>
      <c r="F192" s="108"/>
      <c r="G192" s="108"/>
      <c r="H192" s="108"/>
      <c r="I192" s="108"/>
      <c r="J192" s="108"/>
      <c r="K192" s="108"/>
    </row>
    <row r="193" spans="1:11" ht="12.75">
      <c r="A193" s="108"/>
      <c r="B193" s="109">
        <v>187</v>
      </c>
      <c r="C193" s="114">
        <f>40050*E2</f>
        <v>40050</v>
      </c>
      <c r="D193" s="108"/>
      <c r="E193" s="108"/>
      <c r="F193" s="108"/>
      <c r="G193" s="108"/>
      <c r="H193" s="108"/>
      <c r="I193" s="108"/>
      <c r="J193" s="108"/>
      <c r="K193" s="108"/>
    </row>
    <row r="194" spans="1:11" ht="12.75">
      <c r="A194" s="108"/>
      <c r="B194" s="109">
        <v>188</v>
      </c>
      <c r="C194" s="114">
        <f>40200*E2</f>
        <v>40200</v>
      </c>
      <c r="D194" s="108"/>
      <c r="E194" s="108"/>
      <c r="F194" s="108"/>
      <c r="G194" s="108"/>
      <c r="H194" s="108"/>
      <c r="I194" s="108"/>
      <c r="J194" s="108"/>
      <c r="K194" s="108"/>
    </row>
    <row r="195" spans="1:11" ht="12.75">
      <c r="A195" s="108"/>
      <c r="B195" s="109">
        <v>189</v>
      </c>
      <c r="C195" s="114">
        <f>40350*E2</f>
        <v>40350</v>
      </c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08"/>
      <c r="B196" s="109">
        <v>190</v>
      </c>
      <c r="C196" s="116">
        <f>40500*E2</f>
        <v>40500</v>
      </c>
      <c r="D196" s="108"/>
      <c r="E196" s="108"/>
      <c r="F196" s="108"/>
      <c r="G196" s="108"/>
      <c r="H196" s="108"/>
      <c r="I196" s="108"/>
      <c r="J196" s="108"/>
      <c r="K196" s="108"/>
    </row>
    <row r="197" spans="1:11" ht="12.75">
      <c r="A197" s="108"/>
      <c r="B197" s="109">
        <v>191</v>
      </c>
      <c r="C197" s="114">
        <f>40650*E2</f>
        <v>40650</v>
      </c>
      <c r="D197" s="108"/>
      <c r="E197" s="108"/>
      <c r="F197" s="108"/>
      <c r="G197" s="108"/>
      <c r="H197" s="108"/>
      <c r="I197" s="108"/>
      <c r="J197" s="108"/>
      <c r="K197" s="108"/>
    </row>
    <row r="198" spans="1:11" ht="12.75">
      <c r="A198" s="108"/>
      <c r="B198" s="109">
        <v>192</v>
      </c>
      <c r="C198" s="114">
        <f>40800*E2</f>
        <v>40800</v>
      </c>
      <c r="D198" s="108"/>
      <c r="E198" s="108"/>
      <c r="F198" s="108"/>
      <c r="G198" s="108"/>
      <c r="H198" s="108"/>
      <c r="I198" s="108"/>
      <c r="J198" s="108"/>
      <c r="K198" s="108"/>
    </row>
    <row r="199" spans="1:11" ht="12.75">
      <c r="A199" s="108"/>
      <c r="B199" s="109">
        <v>193</v>
      </c>
      <c r="C199" s="114">
        <f>40950*E2</f>
        <v>40950</v>
      </c>
      <c r="D199" s="108"/>
      <c r="E199" s="108"/>
      <c r="F199" s="108"/>
      <c r="G199" s="108"/>
      <c r="H199" s="108"/>
      <c r="I199" s="108"/>
      <c r="J199" s="108"/>
      <c r="K199" s="108"/>
    </row>
    <row r="200" spans="1:11" ht="12.75">
      <c r="A200" s="108"/>
      <c r="B200" s="109">
        <v>194</v>
      </c>
      <c r="C200" s="114">
        <f>41100*E2</f>
        <v>41100</v>
      </c>
      <c r="D200" s="108"/>
      <c r="E200" s="108"/>
      <c r="F200" s="108"/>
      <c r="G200" s="108"/>
      <c r="H200" s="108"/>
      <c r="I200" s="108"/>
      <c r="J200" s="108"/>
      <c r="K200" s="108"/>
    </row>
    <row r="201" spans="1:11" ht="12.75">
      <c r="A201" s="108"/>
      <c r="B201" s="109">
        <v>195</v>
      </c>
      <c r="C201" s="116">
        <f>41250*E2</f>
        <v>41250</v>
      </c>
      <c r="D201" s="108"/>
      <c r="E201" s="108"/>
      <c r="F201" s="108"/>
      <c r="G201" s="108"/>
      <c r="H201" s="108"/>
      <c r="I201" s="108"/>
      <c r="J201" s="108"/>
      <c r="K201" s="108"/>
    </row>
    <row r="202" spans="1:11" ht="12.75">
      <c r="A202" s="108"/>
      <c r="B202" s="109">
        <v>196</v>
      </c>
      <c r="C202" s="114">
        <f>41400*E2</f>
        <v>41400</v>
      </c>
      <c r="D202" s="108"/>
      <c r="E202" s="108"/>
      <c r="F202" s="108"/>
      <c r="G202" s="108"/>
      <c r="H202" s="108"/>
      <c r="I202" s="108"/>
      <c r="J202" s="108"/>
      <c r="K202" s="108"/>
    </row>
    <row r="203" spans="1:11" ht="12.75">
      <c r="A203" s="108"/>
      <c r="B203" s="109">
        <v>197</v>
      </c>
      <c r="C203" s="114">
        <f>41550*E2</f>
        <v>41550</v>
      </c>
      <c r="D203" s="108"/>
      <c r="E203" s="108"/>
      <c r="F203" s="108"/>
      <c r="G203" s="108"/>
      <c r="H203" s="108"/>
      <c r="I203" s="108"/>
      <c r="J203" s="108"/>
      <c r="K203" s="108"/>
    </row>
    <row r="204" spans="1:11" ht="12.75">
      <c r="A204" s="108"/>
      <c r="B204" s="109">
        <v>198</v>
      </c>
      <c r="C204" s="114">
        <f>41700*E2</f>
        <v>41700</v>
      </c>
      <c r="D204" s="108"/>
      <c r="E204" s="108"/>
      <c r="F204" s="108"/>
      <c r="G204" s="108"/>
      <c r="H204" s="108"/>
      <c r="I204" s="108"/>
      <c r="J204" s="108"/>
      <c r="K204" s="108"/>
    </row>
    <row r="205" spans="1:11" ht="12.75">
      <c r="A205" s="108"/>
      <c r="B205" s="109">
        <v>199</v>
      </c>
      <c r="C205" s="114">
        <f>41850*E2</f>
        <v>41850</v>
      </c>
      <c r="D205" s="108"/>
      <c r="E205" s="108"/>
      <c r="F205" s="108"/>
      <c r="G205" s="108"/>
      <c r="H205" s="108"/>
      <c r="I205" s="108"/>
      <c r="J205" s="108"/>
      <c r="K205" s="108"/>
    </row>
    <row r="206" spans="1:11" ht="12.75">
      <c r="A206" s="108"/>
      <c r="B206" s="109">
        <v>200</v>
      </c>
      <c r="C206" s="116">
        <f>42000*E2</f>
        <v>42000</v>
      </c>
      <c r="D206" s="108"/>
      <c r="E206" s="108"/>
      <c r="F206" s="108"/>
      <c r="G206" s="108"/>
      <c r="H206" s="108"/>
      <c r="I206" s="108"/>
      <c r="J206" s="108"/>
      <c r="K206" s="108"/>
    </row>
    <row r="207" spans="1:11" ht="12.75">
      <c r="A207" s="108"/>
      <c r="B207" s="109">
        <v>201</v>
      </c>
      <c r="C207" s="114">
        <f>42150*E2</f>
        <v>42150</v>
      </c>
      <c r="D207" s="108"/>
      <c r="E207" s="108"/>
      <c r="F207" s="108"/>
      <c r="G207" s="108"/>
      <c r="H207" s="108"/>
      <c r="I207" s="108"/>
      <c r="J207" s="108"/>
      <c r="K207" s="108"/>
    </row>
    <row r="208" spans="1:11" ht="12.75">
      <c r="A208" s="108"/>
      <c r="B208" s="109">
        <v>202</v>
      </c>
      <c r="C208" s="114">
        <f>42300*E2</f>
        <v>42300</v>
      </c>
      <c r="D208" s="108"/>
      <c r="E208" s="108"/>
      <c r="F208" s="108"/>
      <c r="G208" s="108"/>
      <c r="H208" s="108"/>
      <c r="I208" s="108"/>
      <c r="J208" s="108"/>
      <c r="K208" s="108"/>
    </row>
    <row r="209" spans="1:11" ht="12.75">
      <c r="A209" s="108"/>
      <c r="B209" s="109">
        <v>203</v>
      </c>
      <c r="C209" s="114">
        <f>42450*E2</f>
        <v>42450</v>
      </c>
      <c r="D209" s="108"/>
      <c r="E209" s="108"/>
      <c r="F209" s="108"/>
      <c r="G209" s="108"/>
      <c r="H209" s="108"/>
      <c r="I209" s="108"/>
      <c r="J209" s="108"/>
      <c r="K209" s="108"/>
    </row>
    <row r="210" spans="1:11" ht="12.75">
      <c r="A210" s="108"/>
      <c r="B210" s="109">
        <v>204</v>
      </c>
      <c r="C210" s="114">
        <f>42600*E2</f>
        <v>42600</v>
      </c>
      <c r="D210" s="108"/>
      <c r="E210" s="108"/>
      <c r="F210" s="108"/>
      <c r="G210" s="108"/>
      <c r="H210" s="108"/>
      <c r="I210" s="108"/>
      <c r="J210" s="108"/>
      <c r="K210" s="108"/>
    </row>
    <row r="211" spans="1:11" ht="12.75">
      <c r="A211" s="108"/>
      <c r="B211" s="109">
        <v>205</v>
      </c>
      <c r="C211" s="116">
        <f>42750*E2</f>
        <v>42750</v>
      </c>
      <c r="D211" s="108"/>
      <c r="E211" s="108"/>
      <c r="F211" s="108"/>
      <c r="G211" s="108"/>
      <c r="H211" s="108"/>
      <c r="I211" s="108"/>
      <c r="J211" s="108"/>
      <c r="K211" s="108"/>
    </row>
    <row r="212" spans="1:11" ht="12.75">
      <c r="A212" s="108"/>
      <c r="B212" s="109">
        <v>206</v>
      </c>
      <c r="C212" s="114">
        <f>42900*E2</f>
        <v>42900</v>
      </c>
      <c r="D212" s="108"/>
      <c r="E212" s="108"/>
      <c r="F212" s="108"/>
      <c r="G212" s="108"/>
      <c r="H212" s="108"/>
      <c r="I212" s="108"/>
      <c r="J212" s="108"/>
      <c r="K212" s="108"/>
    </row>
    <row r="213" spans="1:11" ht="12.75">
      <c r="A213" s="108"/>
      <c r="B213" s="109">
        <v>207</v>
      </c>
      <c r="C213" s="114">
        <f>43050*E2</f>
        <v>43050</v>
      </c>
      <c r="D213" s="108"/>
      <c r="E213" s="108"/>
      <c r="F213" s="108"/>
      <c r="G213" s="108"/>
      <c r="H213" s="108"/>
      <c r="I213" s="108"/>
      <c r="J213" s="108"/>
      <c r="K213" s="108"/>
    </row>
    <row r="214" spans="1:11" ht="12.75">
      <c r="A214" s="108"/>
      <c r="B214" s="109">
        <v>208</v>
      </c>
      <c r="C214" s="114">
        <f>43200*E2</f>
        <v>43200</v>
      </c>
      <c r="D214" s="108"/>
      <c r="E214" s="108"/>
      <c r="F214" s="108"/>
      <c r="G214" s="108"/>
      <c r="H214" s="108"/>
      <c r="I214" s="108"/>
      <c r="J214" s="108"/>
      <c r="K214" s="108"/>
    </row>
    <row r="215" spans="1:11" ht="12.75">
      <c r="A215" s="108"/>
      <c r="B215" s="109">
        <v>209</v>
      </c>
      <c r="C215" s="114">
        <f>43350*E2</f>
        <v>43350</v>
      </c>
      <c r="D215" s="108"/>
      <c r="E215" s="108"/>
      <c r="F215" s="108"/>
      <c r="G215" s="108"/>
      <c r="H215" s="108"/>
      <c r="I215" s="108"/>
      <c r="J215" s="108"/>
      <c r="K215" s="108"/>
    </row>
    <row r="216" spans="1:11" ht="12.75">
      <c r="A216" s="108"/>
      <c r="B216" s="109">
        <v>210</v>
      </c>
      <c r="C216" s="116">
        <f>43500*E2</f>
        <v>43500</v>
      </c>
      <c r="D216" s="108"/>
      <c r="E216" s="108"/>
      <c r="F216" s="108"/>
      <c r="G216" s="108"/>
      <c r="H216" s="108"/>
      <c r="I216" s="108"/>
      <c r="J216" s="108"/>
      <c r="K216" s="108"/>
    </row>
    <row r="217" spans="1:11" ht="12.75">
      <c r="A217" s="108"/>
      <c r="B217" s="109">
        <v>211</v>
      </c>
      <c r="C217" s="114">
        <f>43650*E2</f>
        <v>43650</v>
      </c>
      <c r="D217" s="108"/>
      <c r="E217" s="108"/>
      <c r="F217" s="108"/>
      <c r="G217" s="108"/>
      <c r="H217" s="108"/>
      <c r="I217" s="108"/>
      <c r="J217" s="108"/>
      <c r="K217" s="108"/>
    </row>
    <row r="218" spans="1:11" ht="12.75">
      <c r="A218" s="108"/>
      <c r="B218" s="109">
        <v>212</v>
      </c>
      <c r="C218" s="114">
        <f>43800*E2</f>
        <v>43800</v>
      </c>
      <c r="D218" s="108"/>
      <c r="E218" s="108"/>
      <c r="F218" s="108"/>
      <c r="G218" s="108"/>
      <c r="H218" s="108"/>
      <c r="I218" s="108"/>
      <c r="J218" s="108"/>
      <c r="K218" s="108"/>
    </row>
    <row r="219" spans="1:11" ht="12.75">
      <c r="A219" s="108"/>
      <c r="B219" s="109">
        <v>213</v>
      </c>
      <c r="C219" s="114">
        <f>43950*E2</f>
        <v>43950</v>
      </c>
      <c r="D219" s="108"/>
      <c r="E219" s="108"/>
      <c r="F219" s="108"/>
      <c r="G219" s="108"/>
      <c r="H219" s="108"/>
      <c r="I219" s="108"/>
      <c r="J219" s="108"/>
      <c r="K219" s="108"/>
    </row>
    <row r="220" spans="1:11" ht="12.75">
      <c r="A220" s="108"/>
      <c r="B220" s="109">
        <v>214</v>
      </c>
      <c r="C220" s="114">
        <f>44100*E2</f>
        <v>44100</v>
      </c>
      <c r="D220" s="108"/>
      <c r="E220" s="108"/>
      <c r="F220" s="108"/>
      <c r="G220" s="108"/>
      <c r="H220" s="108"/>
      <c r="I220" s="108"/>
      <c r="J220" s="108"/>
      <c r="K220" s="108"/>
    </row>
    <row r="221" spans="1:11" ht="12.75">
      <c r="A221" s="108"/>
      <c r="B221" s="109">
        <v>215</v>
      </c>
      <c r="C221" s="116">
        <f>44250*E2</f>
        <v>44250</v>
      </c>
      <c r="D221" s="108"/>
      <c r="E221" s="108"/>
      <c r="F221" s="108"/>
      <c r="G221" s="108"/>
      <c r="H221" s="108"/>
      <c r="I221" s="108"/>
      <c r="J221" s="108"/>
      <c r="K221" s="108"/>
    </row>
    <row r="222" spans="1:11" ht="12.75">
      <c r="A222" s="108"/>
      <c r="B222" s="109">
        <v>216</v>
      </c>
      <c r="C222" s="114">
        <f>44400*E2</f>
        <v>44400</v>
      </c>
      <c r="D222" s="108"/>
      <c r="E222" s="108"/>
      <c r="F222" s="108"/>
      <c r="G222" s="108"/>
      <c r="H222" s="108"/>
      <c r="I222" s="108"/>
      <c r="J222" s="108"/>
      <c r="K222" s="108"/>
    </row>
    <row r="223" spans="1:11" ht="12.75">
      <c r="A223" s="108"/>
      <c r="B223" s="109">
        <v>217</v>
      </c>
      <c r="C223" s="114">
        <f>44550*E2</f>
        <v>44550</v>
      </c>
      <c r="D223" s="108"/>
      <c r="E223" s="108"/>
      <c r="F223" s="108"/>
      <c r="G223" s="108"/>
      <c r="H223" s="108"/>
      <c r="I223" s="108"/>
      <c r="J223" s="108"/>
      <c r="K223" s="108"/>
    </row>
    <row r="224" spans="1:11" ht="12.75">
      <c r="A224" s="108"/>
      <c r="B224" s="109">
        <v>218</v>
      </c>
      <c r="C224" s="114">
        <f>44700*E2</f>
        <v>44700</v>
      </c>
      <c r="D224" s="108"/>
      <c r="E224" s="108"/>
      <c r="F224" s="108"/>
      <c r="G224" s="108"/>
      <c r="H224" s="108"/>
      <c r="I224" s="108"/>
      <c r="J224" s="108"/>
      <c r="K224" s="108"/>
    </row>
    <row r="225" spans="1:11" ht="12.75">
      <c r="A225" s="108"/>
      <c r="B225" s="109">
        <v>219</v>
      </c>
      <c r="C225" s="114">
        <f>44850*E2</f>
        <v>44850</v>
      </c>
      <c r="D225" s="108"/>
      <c r="E225" s="108"/>
      <c r="F225" s="108"/>
      <c r="G225" s="108"/>
      <c r="H225" s="108"/>
      <c r="I225" s="108"/>
      <c r="J225" s="108"/>
      <c r="K225" s="108"/>
    </row>
    <row r="226" spans="1:11" ht="12.75">
      <c r="A226" s="108"/>
      <c r="B226" s="109">
        <v>220</v>
      </c>
      <c r="C226" s="116">
        <f>45000*E2</f>
        <v>45000</v>
      </c>
      <c r="D226" s="108"/>
      <c r="E226" s="108"/>
      <c r="F226" s="108"/>
      <c r="G226" s="108"/>
      <c r="H226" s="108"/>
      <c r="I226" s="108"/>
      <c r="J226" s="108"/>
      <c r="K226" s="108"/>
    </row>
    <row r="227" spans="1:11" ht="12.75">
      <c r="A227" s="108"/>
      <c r="B227" s="109">
        <v>221</v>
      </c>
      <c r="C227" s="114">
        <f>45150*E2</f>
        <v>45150</v>
      </c>
      <c r="D227" s="108"/>
      <c r="E227" s="108"/>
      <c r="F227" s="108"/>
      <c r="G227" s="108"/>
      <c r="H227" s="108"/>
      <c r="I227" s="108"/>
      <c r="J227" s="108"/>
      <c r="K227" s="108"/>
    </row>
    <row r="228" spans="1:11" ht="12.75">
      <c r="A228" s="108"/>
      <c r="B228" s="109">
        <v>222</v>
      </c>
      <c r="C228" s="114">
        <f>45300*E2</f>
        <v>45300</v>
      </c>
      <c r="D228" s="108"/>
      <c r="E228" s="108"/>
      <c r="F228" s="108"/>
      <c r="G228" s="108"/>
      <c r="H228" s="108"/>
      <c r="I228" s="108"/>
      <c r="J228" s="108"/>
      <c r="K228" s="108"/>
    </row>
    <row r="229" spans="1:11" ht="12.75">
      <c r="A229" s="108"/>
      <c r="B229" s="109">
        <v>223</v>
      </c>
      <c r="C229" s="114">
        <f>45450*E2</f>
        <v>45450</v>
      </c>
      <c r="D229" s="108"/>
      <c r="E229" s="108"/>
      <c r="F229" s="108"/>
      <c r="G229" s="108"/>
      <c r="H229" s="108"/>
      <c r="I229" s="108"/>
      <c r="J229" s="108"/>
      <c r="K229" s="108"/>
    </row>
    <row r="230" spans="1:11" ht="12.75">
      <c r="A230" s="108"/>
      <c r="B230" s="109">
        <v>224</v>
      </c>
      <c r="C230" s="114">
        <f>45600*E2</f>
        <v>45600</v>
      </c>
      <c r="D230" s="108"/>
      <c r="E230" s="108"/>
      <c r="F230" s="108"/>
      <c r="G230" s="108"/>
      <c r="H230" s="108"/>
      <c r="I230" s="108"/>
      <c r="J230" s="108"/>
      <c r="K230" s="108"/>
    </row>
    <row r="231" spans="1:11" ht="12.75">
      <c r="A231" s="108"/>
      <c r="B231" s="109">
        <v>225</v>
      </c>
      <c r="C231" s="116">
        <f>45750*E2</f>
        <v>45750</v>
      </c>
      <c r="D231" s="108"/>
      <c r="E231" s="108"/>
      <c r="F231" s="108"/>
      <c r="G231" s="108"/>
      <c r="H231" s="108"/>
      <c r="I231" s="108"/>
      <c r="J231" s="108"/>
      <c r="K231" s="108"/>
    </row>
    <row r="232" spans="1:11" ht="12.75">
      <c r="A232" s="108"/>
      <c r="B232" s="109">
        <v>226</v>
      </c>
      <c r="C232" s="114">
        <f>45900*E2</f>
        <v>45900</v>
      </c>
      <c r="D232" s="108"/>
      <c r="E232" s="108"/>
      <c r="F232" s="108"/>
      <c r="G232" s="108"/>
      <c r="H232" s="108"/>
      <c r="I232" s="108"/>
      <c r="J232" s="108"/>
      <c r="K232" s="108"/>
    </row>
    <row r="233" spans="1:11" ht="12.75">
      <c r="A233" s="108"/>
      <c r="B233" s="109">
        <v>227</v>
      </c>
      <c r="C233" s="114">
        <f>46050*E2</f>
        <v>46050</v>
      </c>
      <c r="D233" s="108"/>
      <c r="E233" s="108"/>
      <c r="F233" s="108"/>
      <c r="G233" s="108"/>
      <c r="H233" s="108"/>
      <c r="I233" s="108"/>
      <c r="J233" s="108"/>
      <c r="K233" s="108"/>
    </row>
    <row r="234" spans="1:11" ht="12.75">
      <c r="A234" s="108"/>
      <c r="B234" s="109">
        <v>228</v>
      </c>
      <c r="C234" s="114">
        <f>46200*E2</f>
        <v>46200</v>
      </c>
      <c r="D234" s="108"/>
      <c r="E234" s="108"/>
      <c r="F234" s="108"/>
      <c r="G234" s="108"/>
      <c r="H234" s="108"/>
      <c r="I234" s="108"/>
      <c r="J234" s="108"/>
      <c r="K234" s="108"/>
    </row>
    <row r="235" spans="1:11" ht="12.75">
      <c r="A235" s="108"/>
      <c r="B235" s="109">
        <v>229</v>
      </c>
      <c r="C235" s="114">
        <f>46350*E2</f>
        <v>46350</v>
      </c>
      <c r="D235" s="108"/>
      <c r="E235" s="108"/>
      <c r="F235" s="108"/>
      <c r="G235" s="108"/>
      <c r="H235" s="108"/>
      <c r="I235" s="108"/>
      <c r="J235" s="108"/>
      <c r="K235" s="108"/>
    </row>
    <row r="236" spans="1:11" ht="12.75">
      <c r="A236" s="108"/>
      <c r="B236" s="109">
        <v>230</v>
      </c>
      <c r="C236" s="116">
        <f>46500*E2</f>
        <v>46500</v>
      </c>
      <c r="D236" s="108"/>
      <c r="E236" s="108"/>
      <c r="F236" s="108"/>
      <c r="G236" s="108"/>
      <c r="H236" s="108"/>
      <c r="I236" s="108"/>
      <c r="J236" s="108"/>
      <c r="K236" s="108"/>
    </row>
    <row r="237" spans="1:11" ht="12.75">
      <c r="A237" s="108"/>
      <c r="B237" s="109">
        <v>231</v>
      </c>
      <c r="C237" s="114">
        <f>46650*E2</f>
        <v>46650</v>
      </c>
      <c r="D237" s="108"/>
      <c r="E237" s="108"/>
      <c r="F237" s="108"/>
      <c r="G237" s="108"/>
      <c r="H237" s="108"/>
      <c r="I237" s="108"/>
      <c r="J237" s="108"/>
      <c r="K237" s="108"/>
    </row>
    <row r="238" spans="1:11" ht="12.75">
      <c r="A238" s="108"/>
      <c r="B238" s="109">
        <v>232</v>
      </c>
      <c r="C238" s="114">
        <f>46800*E2</f>
        <v>46800</v>
      </c>
      <c r="D238" s="108"/>
      <c r="E238" s="108"/>
      <c r="F238" s="108"/>
      <c r="G238" s="108"/>
      <c r="H238" s="108"/>
      <c r="I238" s="108"/>
      <c r="J238" s="108"/>
      <c r="K238" s="108"/>
    </row>
    <row r="239" spans="1:11" ht="12.75">
      <c r="A239" s="108"/>
      <c r="B239" s="109">
        <v>233</v>
      </c>
      <c r="C239" s="114">
        <f>46950*E2</f>
        <v>46950</v>
      </c>
      <c r="D239" s="108"/>
      <c r="E239" s="108"/>
      <c r="F239" s="108"/>
      <c r="G239" s="108"/>
      <c r="H239" s="108"/>
      <c r="I239" s="108"/>
      <c r="J239" s="108"/>
      <c r="K239" s="108"/>
    </row>
    <row r="240" spans="1:11" ht="12.75">
      <c r="A240" s="108"/>
      <c r="B240" s="109">
        <v>234</v>
      </c>
      <c r="C240" s="114">
        <f>47100*E2</f>
        <v>47100</v>
      </c>
      <c r="D240" s="108"/>
      <c r="E240" s="108"/>
      <c r="F240" s="108"/>
      <c r="G240" s="108"/>
      <c r="H240" s="108"/>
      <c r="I240" s="108"/>
      <c r="J240" s="108"/>
      <c r="K240" s="108"/>
    </row>
    <row r="241" spans="1:11" ht="12.75">
      <c r="A241" s="108"/>
      <c r="B241" s="109">
        <v>235</v>
      </c>
      <c r="C241" s="116">
        <f>47250*E2</f>
        <v>47250</v>
      </c>
      <c r="D241" s="108"/>
      <c r="E241" s="108"/>
      <c r="F241" s="108"/>
      <c r="G241" s="108"/>
      <c r="H241" s="108"/>
      <c r="I241" s="108"/>
      <c r="J241" s="108"/>
      <c r="K241" s="108"/>
    </row>
    <row r="242" spans="1:11" ht="12.75">
      <c r="A242" s="108"/>
      <c r="B242" s="109">
        <v>236</v>
      </c>
      <c r="C242" s="114">
        <f>47400*E2</f>
        <v>47400</v>
      </c>
      <c r="D242" s="108"/>
      <c r="E242" s="108"/>
      <c r="F242" s="108"/>
      <c r="G242" s="108"/>
      <c r="H242" s="108"/>
      <c r="I242" s="108"/>
      <c r="J242" s="108"/>
      <c r="K242" s="108"/>
    </row>
    <row r="243" spans="1:11" ht="12.75">
      <c r="A243" s="108"/>
      <c r="B243" s="109">
        <v>237</v>
      </c>
      <c r="C243" s="114">
        <f>47550*E2</f>
        <v>47550</v>
      </c>
      <c r="D243" s="108"/>
      <c r="E243" s="108"/>
      <c r="F243" s="108"/>
      <c r="G243" s="108"/>
      <c r="H243" s="108"/>
      <c r="I243" s="108"/>
      <c r="J243" s="108"/>
      <c r="K243" s="108"/>
    </row>
    <row r="244" spans="1:11" ht="12.75">
      <c r="A244" s="108"/>
      <c r="B244" s="109">
        <v>238</v>
      </c>
      <c r="C244" s="114">
        <f>47700*E2</f>
        <v>47700</v>
      </c>
      <c r="D244" s="108"/>
      <c r="E244" s="108"/>
      <c r="F244" s="108"/>
      <c r="G244" s="108"/>
      <c r="H244" s="108"/>
      <c r="I244" s="108"/>
      <c r="J244" s="108"/>
      <c r="K244" s="108"/>
    </row>
    <row r="245" spans="1:11" ht="12.75">
      <c r="A245" s="108"/>
      <c r="B245" s="109">
        <v>239</v>
      </c>
      <c r="C245" s="114">
        <f>47850*E2</f>
        <v>47850</v>
      </c>
      <c r="D245" s="108"/>
      <c r="E245" s="108"/>
      <c r="F245" s="108"/>
      <c r="G245" s="108"/>
      <c r="H245" s="108"/>
      <c r="I245" s="108"/>
      <c r="J245" s="108"/>
      <c r="K245" s="108"/>
    </row>
    <row r="246" spans="1:11" ht="12.75">
      <c r="A246" s="108"/>
      <c r="B246" s="109">
        <v>240</v>
      </c>
      <c r="C246" s="116">
        <f>48000*E2</f>
        <v>48000</v>
      </c>
      <c r="D246" s="108"/>
      <c r="E246" s="108"/>
      <c r="F246" s="108"/>
      <c r="G246" s="108"/>
      <c r="H246" s="108"/>
      <c r="I246" s="108"/>
      <c r="J246" s="108"/>
      <c r="K246" s="108"/>
    </row>
    <row r="247" spans="1:11" ht="12.75">
      <c r="A247" s="108"/>
      <c r="B247" s="109">
        <v>241</v>
      </c>
      <c r="C247" s="114">
        <f>48150*E2</f>
        <v>48150</v>
      </c>
      <c r="D247" s="108"/>
      <c r="E247" s="108"/>
      <c r="F247" s="108"/>
      <c r="G247" s="108"/>
      <c r="H247" s="108"/>
      <c r="I247" s="108"/>
      <c r="J247" s="108"/>
      <c r="K247" s="108"/>
    </row>
    <row r="248" spans="1:11" ht="12.75">
      <c r="A248" s="108"/>
      <c r="B248" s="109">
        <v>242</v>
      </c>
      <c r="C248" s="114">
        <f>48300*E2</f>
        <v>48300</v>
      </c>
      <c r="D248" s="108"/>
      <c r="E248" s="108"/>
      <c r="F248" s="108"/>
      <c r="G248" s="108"/>
      <c r="H248" s="108"/>
      <c r="I248" s="108"/>
      <c r="J248" s="108"/>
      <c r="K248" s="108"/>
    </row>
    <row r="249" spans="1:11" ht="12.75">
      <c r="A249" s="108"/>
      <c r="B249" s="109">
        <v>243</v>
      </c>
      <c r="C249" s="114">
        <f>48450*E2</f>
        <v>48450</v>
      </c>
      <c r="D249" s="108"/>
      <c r="E249" s="108"/>
      <c r="F249" s="108"/>
      <c r="G249" s="108"/>
      <c r="H249" s="108"/>
      <c r="I249" s="108"/>
      <c r="J249" s="108"/>
      <c r="K249" s="108"/>
    </row>
    <row r="250" spans="1:11" ht="12.75">
      <c r="A250" s="108"/>
      <c r="B250" s="109">
        <v>244</v>
      </c>
      <c r="C250" s="114">
        <f>48600*E2</f>
        <v>48600</v>
      </c>
      <c r="D250" s="108"/>
      <c r="E250" s="108"/>
      <c r="F250" s="108"/>
      <c r="G250" s="108"/>
      <c r="H250" s="108"/>
      <c r="I250" s="108"/>
      <c r="J250" s="108"/>
      <c r="K250" s="108"/>
    </row>
    <row r="251" spans="1:11" ht="12.75">
      <c r="A251" s="108"/>
      <c r="B251" s="109">
        <v>245</v>
      </c>
      <c r="C251" s="116">
        <f>48750*E2</f>
        <v>48750</v>
      </c>
      <c r="D251" s="108"/>
      <c r="E251" s="108"/>
      <c r="F251" s="108"/>
      <c r="G251" s="108"/>
      <c r="H251" s="108"/>
      <c r="I251" s="108"/>
      <c r="J251" s="108"/>
      <c r="K251" s="108"/>
    </row>
    <row r="252" spans="1:11" ht="12.75">
      <c r="A252" s="108"/>
      <c r="B252" s="109">
        <v>246</v>
      </c>
      <c r="C252" s="114">
        <f>48900*E2</f>
        <v>48900</v>
      </c>
      <c r="D252" s="108"/>
      <c r="E252" s="108"/>
      <c r="F252" s="108"/>
      <c r="G252" s="108"/>
      <c r="H252" s="108"/>
      <c r="I252" s="108"/>
      <c r="J252" s="108"/>
      <c r="K252" s="108"/>
    </row>
    <row r="253" spans="1:11" ht="12.75">
      <c r="A253" s="108"/>
      <c r="B253" s="109">
        <v>247</v>
      </c>
      <c r="C253" s="114">
        <f>49050*E2</f>
        <v>49050</v>
      </c>
      <c r="D253" s="108"/>
      <c r="E253" s="108"/>
      <c r="F253" s="108"/>
      <c r="G253" s="108"/>
      <c r="H253" s="108"/>
      <c r="I253" s="108"/>
      <c r="J253" s="108"/>
      <c r="K253" s="108"/>
    </row>
    <row r="254" spans="1:11" ht="12.75">
      <c r="A254" s="108"/>
      <c r="B254" s="109">
        <v>248</v>
      </c>
      <c r="C254" s="114">
        <f>49200*E2</f>
        <v>49200</v>
      </c>
      <c r="D254" s="108"/>
      <c r="E254" s="108"/>
      <c r="F254" s="108"/>
      <c r="G254" s="108"/>
      <c r="H254" s="108"/>
      <c r="I254" s="108"/>
      <c r="J254" s="108"/>
      <c r="K254" s="108"/>
    </row>
    <row r="255" spans="1:11" ht="12.75">
      <c r="A255" s="108"/>
      <c r="B255" s="109">
        <v>249</v>
      </c>
      <c r="C255" s="114">
        <f>49350*E2</f>
        <v>49350</v>
      </c>
      <c r="D255" s="108"/>
      <c r="E255" s="108"/>
      <c r="F255" s="108"/>
      <c r="G255" s="108"/>
      <c r="H255" s="108"/>
      <c r="I255" s="108"/>
      <c r="J255" s="108"/>
      <c r="K255" s="108"/>
    </row>
    <row r="256" spans="1:11" ht="12.75">
      <c r="A256" s="108"/>
      <c r="B256" s="109">
        <v>250</v>
      </c>
      <c r="C256" s="116">
        <f>49500*E2</f>
        <v>49500</v>
      </c>
      <c r="D256" s="108"/>
      <c r="E256" s="108"/>
      <c r="F256" s="108"/>
      <c r="G256" s="108"/>
      <c r="H256" s="108"/>
      <c r="I256" s="108"/>
      <c r="J256" s="108"/>
      <c r="K256" s="108"/>
    </row>
    <row r="257" spans="1:11" ht="12.75">
      <c r="A257" s="108"/>
      <c r="B257" s="109">
        <v>251</v>
      </c>
      <c r="C257" s="114">
        <f>49650*E2</f>
        <v>49650</v>
      </c>
      <c r="D257" s="108"/>
      <c r="E257" s="108"/>
      <c r="F257" s="108"/>
      <c r="G257" s="108"/>
      <c r="H257" s="108"/>
      <c r="I257" s="108"/>
      <c r="J257" s="108"/>
      <c r="K257" s="108"/>
    </row>
    <row r="258" spans="1:11" ht="12.75">
      <c r="A258" s="108"/>
      <c r="B258" s="109">
        <v>252</v>
      </c>
      <c r="C258" s="114">
        <f>49800*E2</f>
        <v>49800</v>
      </c>
      <c r="D258" s="108"/>
      <c r="E258" s="108"/>
      <c r="F258" s="108"/>
      <c r="G258" s="108"/>
      <c r="H258" s="108"/>
      <c r="I258" s="108"/>
      <c r="J258" s="108"/>
      <c r="K258" s="108"/>
    </row>
    <row r="259" spans="1:11" ht="12.75">
      <c r="A259" s="108"/>
      <c r="B259" s="109">
        <v>253</v>
      </c>
      <c r="C259" s="114">
        <f>49950*E2</f>
        <v>49950</v>
      </c>
      <c r="D259" s="108"/>
      <c r="E259" s="108"/>
      <c r="F259" s="108"/>
      <c r="G259" s="108"/>
      <c r="H259" s="108"/>
      <c r="I259" s="108"/>
      <c r="J259" s="108"/>
      <c r="K259" s="108"/>
    </row>
    <row r="260" spans="1:11" ht="12.75">
      <c r="A260" s="108"/>
      <c r="B260" s="109">
        <v>254</v>
      </c>
      <c r="C260" s="114">
        <f>50100*E2</f>
        <v>50100</v>
      </c>
      <c r="D260" s="108"/>
      <c r="E260" s="108"/>
      <c r="F260" s="108"/>
      <c r="G260" s="108"/>
      <c r="H260" s="108"/>
      <c r="I260" s="108"/>
      <c r="J260" s="108"/>
      <c r="K260" s="108"/>
    </row>
    <row r="261" spans="1:11" ht="12.75">
      <c r="A261" s="108"/>
      <c r="B261" s="109">
        <v>255</v>
      </c>
      <c r="C261" s="116">
        <f>50250*E2</f>
        <v>50250</v>
      </c>
      <c r="D261" s="108"/>
      <c r="E261" s="108"/>
      <c r="F261" s="108"/>
      <c r="G261" s="108"/>
      <c r="H261" s="108"/>
      <c r="I261" s="108"/>
      <c r="J261" s="108"/>
      <c r="K261" s="108"/>
    </row>
    <row r="262" spans="1:11" ht="12.75">
      <c r="A262" s="108"/>
      <c r="B262" s="109">
        <v>256</v>
      </c>
      <c r="C262" s="114">
        <f>50400*E2</f>
        <v>50400</v>
      </c>
      <c r="D262" s="108"/>
      <c r="E262" s="108"/>
      <c r="F262" s="108"/>
      <c r="G262" s="108"/>
      <c r="H262" s="108"/>
      <c r="I262" s="108"/>
      <c r="J262" s="108"/>
      <c r="K262" s="108"/>
    </row>
    <row r="263" spans="1:11" ht="12.75">
      <c r="A263" s="108"/>
      <c r="B263" s="109">
        <v>257</v>
      </c>
      <c r="C263" s="114">
        <f>50550*E2</f>
        <v>50550</v>
      </c>
      <c r="D263" s="108"/>
      <c r="E263" s="108"/>
      <c r="F263" s="108"/>
      <c r="G263" s="108"/>
      <c r="H263" s="108"/>
      <c r="I263" s="108"/>
      <c r="J263" s="108"/>
      <c r="K263" s="108"/>
    </row>
    <row r="264" spans="1:11" ht="12.75">
      <c r="A264" s="108"/>
      <c r="B264" s="109">
        <v>258</v>
      </c>
      <c r="C264" s="114">
        <f>50700*E2</f>
        <v>50700</v>
      </c>
      <c r="D264" s="108"/>
      <c r="E264" s="108"/>
      <c r="F264" s="108"/>
      <c r="G264" s="108"/>
      <c r="H264" s="108"/>
      <c r="I264" s="108"/>
      <c r="J264" s="108"/>
      <c r="K264" s="108"/>
    </row>
    <row r="265" spans="1:11" ht="12.75">
      <c r="A265" s="108"/>
      <c r="B265" s="109">
        <v>259</v>
      </c>
      <c r="C265" s="114">
        <f>50850*E2</f>
        <v>50850</v>
      </c>
      <c r="D265" s="108"/>
      <c r="E265" s="108"/>
      <c r="F265" s="108"/>
      <c r="G265" s="108"/>
      <c r="H265" s="108"/>
      <c r="I265" s="108"/>
      <c r="J265" s="108"/>
      <c r="K265" s="108"/>
    </row>
    <row r="266" spans="1:11" ht="12.75">
      <c r="A266" s="108"/>
      <c r="B266" s="109">
        <v>260</v>
      </c>
      <c r="C266" s="116">
        <f>51000*E2</f>
        <v>51000</v>
      </c>
      <c r="D266" s="108"/>
      <c r="E266" s="108"/>
      <c r="F266" s="108"/>
      <c r="G266" s="108"/>
      <c r="H266" s="108"/>
      <c r="I266" s="108"/>
      <c r="J266" s="108"/>
      <c r="K266" s="108"/>
    </row>
    <row r="267" spans="1:11" ht="12.75">
      <c r="A267" s="108"/>
      <c r="B267" s="109">
        <v>261</v>
      </c>
      <c r="C267" s="114">
        <f>51150*E2</f>
        <v>51150</v>
      </c>
      <c r="D267" s="108"/>
      <c r="E267" s="108"/>
      <c r="F267" s="108"/>
      <c r="G267" s="108"/>
      <c r="H267" s="108"/>
      <c r="I267" s="108"/>
      <c r="J267" s="108"/>
      <c r="K267" s="108"/>
    </row>
    <row r="268" spans="1:11" ht="12.75">
      <c r="A268" s="108"/>
      <c r="B268" s="109">
        <v>262</v>
      </c>
      <c r="C268" s="114">
        <f>51300*E2</f>
        <v>51300</v>
      </c>
      <c r="D268" s="108"/>
      <c r="E268" s="108"/>
      <c r="F268" s="108"/>
      <c r="G268" s="108"/>
      <c r="H268" s="108"/>
      <c r="I268" s="108"/>
      <c r="J268" s="108"/>
      <c r="K268" s="108"/>
    </row>
    <row r="269" spans="1:11" ht="12.75">
      <c r="A269" s="108"/>
      <c r="B269" s="109">
        <v>263</v>
      </c>
      <c r="C269" s="114">
        <f>51450*E2</f>
        <v>51450</v>
      </c>
      <c r="D269" s="108"/>
      <c r="E269" s="108"/>
      <c r="F269" s="108"/>
      <c r="G269" s="108"/>
      <c r="H269" s="108"/>
      <c r="I269" s="108"/>
      <c r="J269" s="108"/>
      <c r="K269" s="108"/>
    </row>
    <row r="270" spans="1:11" ht="12.75">
      <c r="A270" s="108"/>
      <c r="B270" s="109">
        <v>264</v>
      </c>
      <c r="C270" s="114">
        <f>51600*E2</f>
        <v>51600</v>
      </c>
      <c r="D270" s="108"/>
      <c r="E270" s="108"/>
      <c r="F270" s="108"/>
      <c r="G270" s="108"/>
      <c r="H270" s="108"/>
      <c r="I270" s="108"/>
      <c r="J270" s="108"/>
      <c r="K270" s="108"/>
    </row>
    <row r="271" spans="1:11" ht="12.75">
      <c r="A271" s="108"/>
      <c r="B271" s="109">
        <v>265</v>
      </c>
      <c r="C271" s="116">
        <f>51750*E2</f>
        <v>51750</v>
      </c>
      <c r="D271" s="108"/>
      <c r="E271" s="108"/>
      <c r="F271" s="108"/>
      <c r="G271" s="108"/>
      <c r="H271" s="108"/>
      <c r="I271" s="108"/>
      <c r="J271" s="108"/>
      <c r="K271" s="108"/>
    </row>
    <row r="272" spans="1:11" ht="12.75">
      <c r="A272" s="108"/>
      <c r="B272" s="109">
        <v>266</v>
      </c>
      <c r="C272" s="114">
        <f>51900*E2</f>
        <v>51900</v>
      </c>
      <c r="D272" s="108"/>
      <c r="E272" s="108"/>
      <c r="F272" s="108"/>
      <c r="G272" s="108"/>
      <c r="H272" s="108"/>
      <c r="I272" s="108"/>
      <c r="J272" s="108"/>
      <c r="K272" s="108"/>
    </row>
    <row r="273" spans="1:11" ht="12.75">
      <c r="A273" s="108"/>
      <c r="B273" s="109">
        <v>267</v>
      </c>
      <c r="C273" s="114">
        <f>52050*E2</f>
        <v>52050</v>
      </c>
      <c r="D273" s="108"/>
      <c r="E273" s="108"/>
      <c r="F273" s="108"/>
      <c r="G273" s="108"/>
      <c r="H273" s="108"/>
      <c r="I273" s="108"/>
      <c r="J273" s="108"/>
      <c r="K273" s="108"/>
    </row>
    <row r="274" spans="1:11" ht="12.75">
      <c r="A274" s="108"/>
      <c r="B274" s="109">
        <v>268</v>
      </c>
      <c r="C274" s="114">
        <f>52200*E2</f>
        <v>52200</v>
      </c>
      <c r="D274" s="108"/>
      <c r="E274" s="108"/>
      <c r="F274" s="108"/>
      <c r="G274" s="108"/>
      <c r="H274" s="108"/>
      <c r="I274" s="108"/>
      <c r="J274" s="108"/>
      <c r="K274" s="108"/>
    </row>
    <row r="275" spans="1:11" ht="12.75">
      <c r="A275" s="108"/>
      <c r="B275" s="109">
        <v>269</v>
      </c>
      <c r="C275" s="114">
        <f>52350*E2</f>
        <v>52350</v>
      </c>
      <c r="D275" s="108"/>
      <c r="E275" s="108"/>
      <c r="F275" s="108"/>
      <c r="G275" s="108"/>
      <c r="H275" s="108"/>
      <c r="I275" s="108"/>
      <c r="J275" s="108"/>
      <c r="K275" s="108"/>
    </row>
    <row r="276" spans="1:11" ht="12.75">
      <c r="A276" s="108"/>
      <c r="B276" s="109">
        <v>270</v>
      </c>
      <c r="C276" s="116">
        <f>52500*E2</f>
        <v>52500</v>
      </c>
      <c r="D276" s="108"/>
      <c r="E276" s="108"/>
      <c r="F276" s="108"/>
      <c r="G276" s="108"/>
      <c r="H276" s="108"/>
      <c r="I276" s="108"/>
      <c r="J276" s="108"/>
      <c r="K276" s="108"/>
    </row>
    <row r="277" spans="1:11" ht="12.75">
      <c r="A277" s="108"/>
      <c r="B277" s="109">
        <v>271</v>
      </c>
      <c r="C277" s="114">
        <f>52650*E2</f>
        <v>52650</v>
      </c>
      <c r="D277" s="108"/>
      <c r="E277" s="108"/>
      <c r="F277" s="108"/>
      <c r="G277" s="108"/>
      <c r="H277" s="108"/>
      <c r="I277" s="108"/>
      <c r="J277" s="108"/>
      <c r="K277" s="108"/>
    </row>
    <row r="278" spans="1:11" ht="12.75">
      <c r="A278" s="108"/>
      <c r="B278" s="109">
        <v>272</v>
      </c>
      <c r="C278" s="114">
        <f>52800*E2</f>
        <v>52800</v>
      </c>
      <c r="D278" s="108"/>
      <c r="E278" s="108"/>
      <c r="F278" s="108"/>
      <c r="G278" s="108"/>
      <c r="H278" s="108"/>
      <c r="I278" s="108"/>
      <c r="J278" s="108"/>
      <c r="K278" s="108"/>
    </row>
    <row r="279" spans="1:11" ht="12.75">
      <c r="A279" s="108"/>
      <c r="B279" s="109">
        <v>273</v>
      </c>
      <c r="C279" s="114">
        <f>52950*E2</f>
        <v>52950</v>
      </c>
      <c r="D279" s="108"/>
      <c r="E279" s="108"/>
      <c r="F279" s="108"/>
      <c r="G279" s="108"/>
      <c r="H279" s="108"/>
      <c r="I279" s="108"/>
      <c r="J279" s="108"/>
      <c r="K279" s="108"/>
    </row>
    <row r="280" spans="1:11" ht="12.75">
      <c r="A280" s="108"/>
      <c r="B280" s="109">
        <v>274</v>
      </c>
      <c r="C280" s="114">
        <f>53100*E2</f>
        <v>53100</v>
      </c>
      <c r="D280" s="108"/>
      <c r="E280" s="108"/>
      <c r="F280" s="108"/>
      <c r="G280" s="108"/>
      <c r="H280" s="108"/>
      <c r="I280" s="108"/>
      <c r="J280" s="108"/>
      <c r="K280" s="108"/>
    </row>
    <row r="281" spans="1:11" ht="12.75">
      <c r="A281" s="108"/>
      <c r="B281" s="109">
        <v>275</v>
      </c>
      <c r="C281" s="116">
        <f>53250*E2</f>
        <v>53250</v>
      </c>
      <c r="D281" s="108"/>
      <c r="E281" s="108"/>
      <c r="F281" s="108"/>
      <c r="G281" s="108"/>
      <c r="H281" s="108"/>
      <c r="I281" s="108"/>
      <c r="J281" s="108"/>
      <c r="K281" s="108"/>
    </row>
    <row r="282" spans="1:11" ht="12.75">
      <c r="A282" s="108"/>
      <c r="B282" s="109">
        <v>276</v>
      </c>
      <c r="C282" s="114">
        <f>53400*E2</f>
        <v>53400</v>
      </c>
      <c r="D282" s="108"/>
      <c r="E282" s="108"/>
      <c r="F282" s="108"/>
      <c r="G282" s="108"/>
      <c r="H282" s="108"/>
      <c r="I282" s="108"/>
      <c r="J282" s="108"/>
      <c r="K282" s="108"/>
    </row>
    <row r="283" spans="1:11" ht="12.75">
      <c r="A283" s="108"/>
      <c r="B283" s="109">
        <v>277</v>
      </c>
      <c r="C283" s="114">
        <f>53550*E2</f>
        <v>53550</v>
      </c>
      <c r="D283" s="108"/>
      <c r="E283" s="108"/>
      <c r="F283" s="108"/>
      <c r="G283" s="108"/>
      <c r="H283" s="108"/>
      <c r="I283" s="108"/>
      <c r="J283" s="108"/>
      <c r="K283" s="108"/>
    </row>
    <row r="284" spans="1:11" ht="12.75">
      <c r="A284" s="108"/>
      <c r="B284" s="109">
        <v>278</v>
      </c>
      <c r="C284" s="114">
        <f>53700*E2</f>
        <v>53700</v>
      </c>
      <c r="D284" s="108"/>
      <c r="E284" s="108"/>
      <c r="F284" s="108"/>
      <c r="G284" s="108"/>
      <c r="H284" s="108"/>
      <c r="I284" s="108"/>
      <c r="J284" s="108"/>
      <c r="K284" s="108"/>
    </row>
    <row r="285" spans="1:11" ht="12.75">
      <c r="A285" s="108"/>
      <c r="B285" s="109">
        <v>279</v>
      </c>
      <c r="C285" s="114">
        <f>53850*E2</f>
        <v>53850</v>
      </c>
      <c r="D285" s="108"/>
      <c r="E285" s="108"/>
      <c r="F285" s="108"/>
      <c r="G285" s="108"/>
      <c r="H285" s="108"/>
      <c r="I285" s="108"/>
      <c r="J285" s="108"/>
      <c r="K285" s="108"/>
    </row>
    <row r="286" spans="1:11" ht="12.75">
      <c r="A286" s="108"/>
      <c r="B286" s="109">
        <v>280</v>
      </c>
      <c r="C286" s="116">
        <f>54000*E2</f>
        <v>54000</v>
      </c>
      <c r="D286" s="108"/>
      <c r="E286" s="108"/>
      <c r="F286" s="108"/>
      <c r="G286" s="108"/>
      <c r="H286" s="108"/>
      <c r="I286" s="108"/>
      <c r="J286" s="108"/>
      <c r="K286" s="108"/>
    </row>
    <row r="287" spans="1:11" ht="12.75">
      <c r="A287" s="108"/>
      <c r="B287" s="109">
        <v>281</v>
      </c>
      <c r="C287" s="114">
        <f>54150*E2</f>
        <v>54150</v>
      </c>
      <c r="D287" s="108"/>
      <c r="E287" s="108"/>
      <c r="F287" s="108"/>
      <c r="G287" s="108"/>
      <c r="H287" s="108"/>
      <c r="I287" s="108"/>
      <c r="J287" s="108"/>
      <c r="K287" s="108"/>
    </row>
    <row r="288" spans="1:11" ht="12.75">
      <c r="A288" s="108"/>
      <c r="B288" s="123">
        <v>282</v>
      </c>
      <c r="C288" s="114">
        <f>54300*E2</f>
        <v>54300</v>
      </c>
      <c r="D288" s="108"/>
      <c r="E288" s="108"/>
      <c r="F288" s="108"/>
      <c r="G288" s="108"/>
      <c r="H288" s="108"/>
      <c r="I288" s="108"/>
      <c r="J288" s="108"/>
      <c r="K288" s="108"/>
    </row>
    <row r="289" spans="1:11" ht="12.75">
      <c r="A289" s="108"/>
      <c r="B289" s="123">
        <v>283</v>
      </c>
      <c r="C289" s="114">
        <f>54450*E2</f>
        <v>54450</v>
      </c>
      <c r="D289" s="108"/>
      <c r="E289" s="108"/>
      <c r="F289" s="108"/>
      <c r="G289" s="108"/>
      <c r="H289" s="108"/>
      <c r="I289" s="108"/>
      <c r="J289" s="108"/>
      <c r="K289" s="108"/>
    </row>
    <row r="290" spans="1:11" ht="12.75">
      <c r="A290" s="108"/>
      <c r="B290" s="123">
        <v>284</v>
      </c>
      <c r="C290" s="114">
        <f>54450*E2</f>
        <v>54450</v>
      </c>
      <c r="D290" s="108"/>
      <c r="E290" s="108"/>
      <c r="F290" s="108"/>
      <c r="G290" s="108"/>
      <c r="H290" s="108"/>
      <c r="I290" s="108"/>
      <c r="J290" s="108"/>
      <c r="K290" s="108"/>
    </row>
    <row r="291" spans="1:11" ht="12.75">
      <c r="A291" s="108"/>
      <c r="B291" s="123">
        <v>285</v>
      </c>
      <c r="C291" s="116">
        <f>54750*E2</f>
        <v>54750</v>
      </c>
      <c r="D291" s="108"/>
      <c r="E291" s="108"/>
      <c r="F291" s="108"/>
      <c r="G291" s="108"/>
      <c r="H291" s="108"/>
      <c r="I291" s="108"/>
      <c r="J291" s="108"/>
      <c r="K291" s="108"/>
    </row>
    <row r="292" spans="1:11" ht="12.75">
      <c r="A292" s="108"/>
      <c r="B292" s="123">
        <v>286</v>
      </c>
      <c r="C292" s="114">
        <f>54900*E2</f>
        <v>54900</v>
      </c>
      <c r="D292" s="108"/>
      <c r="E292" s="108"/>
      <c r="F292" s="108"/>
      <c r="G292" s="108"/>
      <c r="H292" s="108"/>
      <c r="I292" s="108"/>
      <c r="J292" s="108"/>
      <c r="K292" s="108"/>
    </row>
    <row r="293" spans="1:11" ht="12.75">
      <c r="A293" s="108"/>
      <c r="B293" s="123">
        <v>287</v>
      </c>
      <c r="C293" s="114">
        <f>55050*E2</f>
        <v>55050</v>
      </c>
      <c r="D293" s="108"/>
      <c r="E293" s="108"/>
      <c r="F293" s="108"/>
      <c r="G293" s="108"/>
      <c r="H293" s="108"/>
      <c r="I293" s="108"/>
      <c r="J293" s="108"/>
      <c r="K293" s="108"/>
    </row>
    <row r="294" spans="1:11" ht="12.75">
      <c r="A294" s="108"/>
      <c r="B294" s="123">
        <v>288</v>
      </c>
      <c r="C294" s="114">
        <f>55200*E2</f>
        <v>55200</v>
      </c>
      <c r="D294" s="108"/>
      <c r="E294" s="108"/>
      <c r="F294" s="108"/>
      <c r="G294" s="108"/>
      <c r="H294" s="108"/>
      <c r="I294" s="108"/>
      <c r="J294" s="108"/>
      <c r="K294" s="108"/>
    </row>
    <row r="295" spans="1:11" ht="12.75">
      <c r="A295" s="108"/>
      <c r="B295" s="123">
        <v>289</v>
      </c>
      <c r="C295" s="114">
        <f>55350*E2</f>
        <v>55350</v>
      </c>
      <c r="D295" s="108"/>
      <c r="E295" s="108"/>
      <c r="F295" s="108"/>
      <c r="G295" s="108"/>
      <c r="H295" s="108"/>
      <c r="I295" s="108"/>
      <c r="J295" s="108"/>
      <c r="K295" s="108"/>
    </row>
    <row r="296" spans="1:11" ht="12.75">
      <c r="A296" s="108"/>
      <c r="B296" s="123">
        <v>290</v>
      </c>
      <c r="C296" s="116">
        <f>55500*E2</f>
        <v>55500</v>
      </c>
      <c r="D296" s="108"/>
      <c r="E296" s="108"/>
      <c r="F296" s="108"/>
      <c r="G296" s="108"/>
      <c r="H296" s="108"/>
      <c r="I296" s="108"/>
      <c r="J296" s="108"/>
      <c r="K296" s="108"/>
    </row>
    <row r="297" spans="1:11" ht="12.75">
      <c r="A297" s="108"/>
      <c r="B297" s="123">
        <v>291</v>
      </c>
      <c r="C297" s="114">
        <f>55650*E2</f>
        <v>55650</v>
      </c>
      <c r="D297" s="108"/>
      <c r="E297" s="108"/>
      <c r="F297" s="108"/>
      <c r="G297" s="108"/>
      <c r="H297" s="108"/>
      <c r="I297" s="108"/>
      <c r="J297" s="108"/>
      <c r="K297" s="108"/>
    </row>
    <row r="298" spans="1:11" ht="12.75">
      <c r="A298" s="108"/>
      <c r="B298" s="123">
        <v>292</v>
      </c>
      <c r="C298" s="114">
        <f>55800*E2</f>
        <v>55800</v>
      </c>
      <c r="D298" s="108"/>
      <c r="E298" s="108"/>
      <c r="F298" s="108"/>
      <c r="G298" s="108"/>
      <c r="H298" s="108"/>
      <c r="I298" s="108"/>
      <c r="J298" s="108"/>
      <c r="K298" s="108"/>
    </row>
    <row r="299" spans="1:11" ht="12.75">
      <c r="A299" s="108"/>
      <c r="B299" s="123">
        <v>293</v>
      </c>
      <c r="C299" s="114">
        <f>55950*E2</f>
        <v>55950</v>
      </c>
      <c r="D299" s="108"/>
      <c r="E299" s="108"/>
      <c r="F299" s="108"/>
      <c r="G299" s="108"/>
      <c r="H299" s="108"/>
      <c r="I299" s="108"/>
      <c r="J299" s="108"/>
      <c r="K299" s="108"/>
    </row>
    <row r="300" spans="1:11" ht="12.75">
      <c r="A300" s="108"/>
      <c r="B300" s="123">
        <v>294</v>
      </c>
      <c r="C300" s="114">
        <f>56100*E2</f>
        <v>56100</v>
      </c>
      <c r="D300" s="108"/>
      <c r="E300" s="108"/>
      <c r="F300" s="108"/>
      <c r="G300" s="108"/>
      <c r="H300" s="108"/>
      <c r="I300" s="108"/>
      <c r="J300" s="108"/>
      <c r="K300" s="108"/>
    </row>
    <row r="301" spans="1:11" ht="12.75">
      <c r="A301" s="108"/>
      <c r="B301" s="123">
        <v>295</v>
      </c>
      <c r="C301" s="116">
        <f>56250*E2</f>
        <v>56250</v>
      </c>
      <c r="D301" s="108"/>
      <c r="E301" s="108"/>
      <c r="F301" s="108"/>
      <c r="G301" s="108"/>
      <c r="H301" s="108"/>
      <c r="I301" s="108"/>
      <c r="J301" s="108"/>
      <c r="K301" s="108"/>
    </row>
    <row r="302" spans="1:11" ht="12.75">
      <c r="A302" s="108"/>
      <c r="B302" s="123">
        <v>296</v>
      </c>
      <c r="C302" s="114">
        <f>56400*E2</f>
        <v>56400</v>
      </c>
      <c r="D302" s="108"/>
      <c r="E302" s="108"/>
      <c r="F302" s="108"/>
      <c r="G302" s="108"/>
      <c r="H302" s="108"/>
      <c r="I302" s="108"/>
      <c r="J302" s="108"/>
      <c r="K302" s="108"/>
    </row>
    <row r="303" spans="1:11" ht="12.75">
      <c r="A303" s="108"/>
      <c r="B303" s="123">
        <v>297</v>
      </c>
      <c r="C303" s="114">
        <f>56550*E2</f>
        <v>56550</v>
      </c>
      <c r="D303" s="108"/>
      <c r="E303" s="108"/>
      <c r="F303" s="108"/>
      <c r="G303" s="108"/>
      <c r="H303" s="108"/>
      <c r="I303" s="108"/>
      <c r="J303" s="108"/>
      <c r="K303" s="108"/>
    </row>
    <row r="304" spans="1:11" ht="12.75">
      <c r="A304" s="108"/>
      <c r="B304" s="123">
        <v>298</v>
      </c>
      <c r="C304" s="114">
        <f>56700*E2</f>
        <v>56700</v>
      </c>
      <c r="D304" s="108"/>
      <c r="E304" s="108"/>
      <c r="F304" s="108"/>
      <c r="G304" s="108"/>
      <c r="H304" s="108"/>
      <c r="I304" s="108"/>
      <c r="J304" s="108"/>
      <c r="K304" s="108"/>
    </row>
    <row r="305" spans="1:11" ht="12.75">
      <c r="A305" s="108"/>
      <c r="B305" s="123">
        <v>299</v>
      </c>
      <c r="C305" s="114">
        <f>56850*E2</f>
        <v>56850</v>
      </c>
      <c r="D305" s="108"/>
      <c r="E305" s="108"/>
      <c r="F305" s="108"/>
      <c r="G305" s="108"/>
      <c r="H305" s="108"/>
      <c r="I305" s="108"/>
      <c r="J305" s="108"/>
      <c r="K305" s="108"/>
    </row>
    <row r="306" spans="1:11" ht="12.75">
      <c r="A306" s="108"/>
      <c r="B306" s="123">
        <v>300</v>
      </c>
      <c r="C306" s="116">
        <f>57000*E2</f>
        <v>57000</v>
      </c>
      <c r="D306" s="108"/>
      <c r="E306" s="108"/>
      <c r="F306" s="108"/>
      <c r="G306" s="108"/>
      <c r="H306" s="108"/>
      <c r="I306" s="108"/>
      <c r="J306" s="108"/>
      <c r="K306" s="108"/>
    </row>
    <row r="307" spans="1:11" ht="12.75">
      <c r="A307" s="108"/>
      <c r="B307" s="123">
        <v>301</v>
      </c>
      <c r="C307" s="114">
        <f>57150*E2</f>
        <v>57150</v>
      </c>
      <c r="D307" s="108"/>
      <c r="E307" s="108"/>
      <c r="F307" s="108"/>
      <c r="G307" s="108"/>
      <c r="H307" s="108"/>
      <c r="I307" s="108"/>
      <c r="J307" s="108"/>
      <c r="K307" s="108"/>
    </row>
    <row r="308" spans="1:11" ht="12.75">
      <c r="A308" s="108"/>
      <c r="B308" s="123">
        <v>302</v>
      </c>
      <c r="C308" s="114">
        <f>57300*E2</f>
        <v>57300</v>
      </c>
      <c r="D308" s="108"/>
      <c r="E308" s="108"/>
      <c r="F308" s="108"/>
      <c r="G308" s="108"/>
      <c r="H308" s="108"/>
      <c r="I308" s="108"/>
      <c r="J308" s="108"/>
      <c r="K308" s="108"/>
    </row>
    <row r="309" spans="1:11" ht="12.75">
      <c r="A309" s="108"/>
      <c r="B309" s="123">
        <v>303</v>
      </c>
      <c r="C309" s="114">
        <f>57450*E2</f>
        <v>57450</v>
      </c>
      <c r="D309" s="108"/>
      <c r="E309" s="108"/>
      <c r="F309" s="108"/>
      <c r="G309" s="108"/>
      <c r="H309" s="108"/>
      <c r="I309" s="108"/>
      <c r="J309" s="108"/>
      <c r="K309" s="108"/>
    </row>
    <row r="310" spans="1:11" ht="12.75">
      <c r="A310" s="108"/>
      <c r="B310" s="123">
        <v>304</v>
      </c>
      <c r="C310" s="114">
        <f>57600*E2</f>
        <v>57600</v>
      </c>
      <c r="D310" s="108"/>
      <c r="E310" s="108"/>
      <c r="F310" s="108"/>
      <c r="G310" s="108"/>
      <c r="H310" s="108"/>
      <c r="I310" s="108"/>
      <c r="J310" s="108"/>
      <c r="K310" s="108"/>
    </row>
    <row r="311" spans="1:11" ht="12.75">
      <c r="A311" s="108"/>
      <c r="B311" s="123">
        <v>305</v>
      </c>
      <c r="C311" s="116">
        <f>57750*E2</f>
        <v>57750</v>
      </c>
      <c r="D311" s="108"/>
      <c r="E311" s="108"/>
      <c r="F311" s="108"/>
      <c r="G311" s="108"/>
      <c r="H311" s="108"/>
      <c r="I311" s="108"/>
      <c r="J311" s="108"/>
      <c r="K311" s="108"/>
    </row>
    <row r="312" spans="1:11" ht="12.75">
      <c r="A312" s="108"/>
      <c r="B312" s="123">
        <v>306</v>
      </c>
      <c r="C312" s="114">
        <f>57900*E2</f>
        <v>57900</v>
      </c>
      <c r="D312" s="108"/>
      <c r="E312" s="108"/>
      <c r="F312" s="108"/>
      <c r="G312" s="108"/>
      <c r="H312" s="108"/>
      <c r="I312" s="108"/>
      <c r="J312" s="108"/>
      <c r="K312" s="108"/>
    </row>
    <row r="313" spans="1:11" ht="12.75">
      <c r="A313" s="108"/>
      <c r="B313" s="123">
        <v>307</v>
      </c>
      <c r="C313" s="114">
        <f>58050*E2</f>
        <v>58050</v>
      </c>
      <c r="D313" s="108"/>
      <c r="E313" s="108"/>
      <c r="F313" s="108"/>
      <c r="G313" s="108"/>
      <c r="H313" s="108"/>
      <c r="I313" s="108"/>
      <c r="J313" s="108"/>
      <c r="K313" s="108"/>
    </row>
    <row r="314" spans="1:11" ht="12.75">
      <c r="A314" s="108"/>
      <c r="B314" s="123">
        <v>308</v>
      </c>
      <c r="C314" s="114">
        <f>58200*E2</f>
        <v>58200</v>
      </c>
      <c r="D314" s="108"/>
      <c r="E314" s="108"/>
      <c r="F314" s="108"/>
      <c r="G314" s="108"/>
      <c r="H314" s="108"/>
      <c r="I314" s="108"/>
      <c r="J314" s="108"/>
      <c r="K314" s="108"/>
    </row>
    <row r="315" spans="1:11" ht="12.75">
      <c r="A315" s="108"/>
      <c r="B315" s="123">
        <v>309</v>
      </c>
      <c r="C315" s="114">
        <f>58350*E2</f>
        <v>58350</v>
      </c>
      <c r="D315" s="108"/>
      <c r="E315" s="108"/>
      <c r="F315" s="108"/>
      <c r="G315" s="108"/>
      <c r="H315" s="108"/>
      <c r="I315" s="108"/>
      <c r="J315" s="108"/>
      <c r="K315" s="108"/>
    </row>
    <row r="316" spans="1:11" ht="12.75">
      <c r="A316" s="108"/>
      <c r="B316" s="123">
        <v>310</v>
      </c>
      <c r="C316" s="116">
        <f>58500*E2</f>
        <v>58500</v>
      </c>
      <c r="D316" s="108"/>
      <c r="E316" s="108"/>
      <c r="F316" s="108"/>
      <c r="G316" s="108"/>
      <c r="H316" s="108"/>
      <c r="I316" s="108"/>
      <c r="J316" s="108"/>
      <c r="K316" s="108"/>
    </row>
    <row r="317" spans="1:11" ht="12.75">
      <c r="A317" s="108"/>
      <c r="B317" s="123">
        <v>311</v>
      </c>
      <c r="C317" s="114">
        <f>58650*E2</f>
        <v>58650</v>
      </c>
      <c r="D317" s="108"/>
      <c r="E317" s="108"/>
      <c r="F317" s="108"/>
      <c r="G317" s="108"/>
      <c r="H317" s="108"/>
      <c r="I317" s="108"/>
      <c r="J317" s="108"/>
      <c r="K317" s="108"/>
    </row>
    <row r="318" spans="1:11" ht="12.75">
      <c r="A318" s="108"/>
      <c r="B318" s="123">
        <v>312</v>
      </c>
      <c r="C318" s="114">
        <f>58800*E2</f>
        <v>58800</v>
      </c>
      <c r="D318" s="108"/>
      <c r="E318" s="108"/>
      <c r="F318" s="108"/>
      <c r="G318" s="108"/>
      <c r="H318" s="108"/>
      <c r="I318" s="108"/>
      <c r="J318" s="108"/>
      <c r="K318" s="108"/>
    </row>
    <row r="319" spans="1:11" ht="12.75">
      <c r="A319" s="108"/>
      <c r="B319" s="123">
        <v>313</v>
      </c>
      <c r="C319" s="114">
        <f>58950*E2</f>
        <v>58950</v>
      </c>
      <c r="D319" s="108"/>
      <c r="E319" s="108"/>
      <c r="F319" s="108"/>
      <c r="G319" s="108"/>
      <c r="H319" s="108"/>
      <c r="I319" s="108"/>
      <c r="J319" s="108"/>
      <c r="K319" s="108"/>
    </row>
    <row r="320" spans="1:11" ht="12.75">
      <c r="A320" s="108"/>
      <c r="B320" s="123">
        <v>314</v>
      </c>
      <c r="C320" s="114">
        <f>59100*E2</f>
        <v>59100</v>
      </c>
      <c r="D320" s="108"/>
      <c r="E320" s="108"/>
      <c r="F320" s="108"/>
      <c r="G320" s="108"/>
      <c r="H320" s="108"/>
      <c r="I320" s="108"/>
      <c r="J320" s="108"/>
      <c r="K320" s="108"/>
    </row>
    <row r="321" spans="1:11" ht="12.75">
      <c r="A321" s="108"/>
      <c r="B321" s="123">
        <v>315</v>
      </c>
      <c r="C321" s="116">
        <f>59250*E2</f>
        <v>59250</v>
      </c>
      <c r="D321" s="108"/>
      <c r="E321" s="108"/>
      <c r="F321" s="108"/>
      <c r="G321" s="108"/>
      <c r="H321" s="108"/>
      <c r="I321" s="108"/>
      <c r="J321" s="108"/>
      <c r="K321" s="108"/>
    </row>
    <row r="322" spans="1:11" ht="12.75">
      <c r="A322" s="108"/>
      <c r="B322" s="123">
        <v>316</v>
      </c>
      <c r="C322" s="114">
        <f>59400*E2</f>
        <v>59400</v>
      </c>
      <c r="D322" s="108"/>
      <c r="E322" s="108"/>
      <c r="F322" s="108"/>
      <c r="G322" s="108"/>
      <c r="H322" s="108"/>
      <c r="I322" s="108"/>
      <c r="J322" s="108"/>
      <c r="K322" s="108"/>
    </row>
    <row r="323" spans="1:11" ht="12.75">
      <c r="A323" s="108"/>
      <c r="B323" s="123">
        <v>317</v>
      </c>
      <c r="C323" s="114">
        <f>59550*E2</f>
        <v>59550</v>
      </c>
      <c r="D323" s="108"/>
      <c r="E323" s="108"/>
      <c r="F323" s="108"/>
      <c r="G323" s="108"/>
      <c r="H323" s="108"/>
      <c r="I323" s="108"/>
      <c r="J323" s="108"/>
      <c r="K323" s="108"/>
    </row>
    <row r="324" spans="1:11" ht="12.75">
      <c r="A324" s="108"/>
      <c r="B324" s="123">
        <v>318</v>
      </c>
      <c r="C324" s="114">
        <f>59700*E2</f>
        <v>59700</v>
      </c>
      <c r="D324" s="108"/>
      <c r="E324" s="108"/>
      <c r="F324" s="108"/>
      <c r="G324" s="108"/>
      <c r="H324" s="108"/>
      <c r="I324" s="108"/>
      <c r="J324" s="108"/>
      <c r="K324" s="108"/>
    </row>
    <row r="325" spans="1:11" ht="12.75">
      <c r="A325" s="108"/>
      <c r="B325" s="123">
        <v>319</v>
      </c>
      <c r="C325" s="114">
        <f>59850*E2</f>
        <v>59850</v>
      </c>
      <c r="D325" s="108"/>
      <c r="E325" s="108"/>
      <c r="F325" s="108"/>
      <c r="G325" s="108"/>
      <c r="H325" s="108"/>
      <c r="I325" s="108"/>
      <c r="J325" s="108"/>
      <c r="K325" s="108"/>
    </row>
    <row r="326" spans="1:11" ht="12.75">
      <c r="A326" s="108"/>
      <c r="B326" s="123">
        <v>320</v>
      </c>
      <c r="C326" s="116">
        <f>60000*E2</f>
        <v>60000</v>
      </c>
      <c r="D326" s="108"/>
      <c r="E326" s="108"/>
      <c r="F326" s="108"/>
      <c r="G326" s="108"/>
      <c r="H326" s="108"/>
      <c r="I326" s="108"/>
      <c r="J326" s="108"/>
      <c r="K326" s="108"/>
    </row>
    <row r="327" spans="1:11" ht="12.75">
      <c r="A327" s="108"/>
      <c r="B327" s="109">
        <v>321</v>
      </c>
      <c r="C327" s="114">
        <f>60150*E2</f>
        <v>60150</v>
      </c>
      <c r="D327" s="108"/>
      <c r="E327" s="108"/>
      <c r="F327" s="108"/>
      <c r="G327" s="108"/>
      <c r="H327" s="108"/>
      <c r="I327" s="108"/>
      <c r="J327" s="108"/>
      <c r="K327" s="108"/>
    </row>
    <row r="328" spans="1:11" ht="12.75">
      <c r="A328" s="108"/>
      <c r="B328" s="109">
        <v>322</v>
      </c>
      <c r="C328" s="114">
        <f>60300*E2</f>
        <v>60300</v>
      </c>
      <c r="D328" s="108"/>
      <c r="E328" s="108"/>
      <c r="F328" s="108"/>
      <c r="G328" s="108"/>
      <c r="H328" s="108"/>
      <c r="I328" s="108"/>
      <c r="J328" s="108"/>
      <c r="K328" s="108"/>
    </row>
    <row r="329" spans="1:11" ht="12.75">
      <c r="A329" s="108"/>
      <c r="B329" s="109">
        <v>323</v>
      </c>
      <c r="C329" s="114">
        <f>60450*E2</f>
        <v>60450</v>
      </c>
      <c r="D329" s="108"/>
      <c r="E329" s="108"/>
      <c r="F329" s="108"/>
      <c r="G329" s="108"/>
      <c r="H329" s="108"/>
      <c r="I329" s="108"/>
      <c r="J329" s="108"/>
      <c r="K329" s="108"/>
    </row>
    <row r="330" spans="1:11" ht="12.75">
      <c r="A330" s="108"/>
      <c r="B330" s="109">
        <v>324</v>
      </c>
      <c r="C330" s="114">
        <f>60600*E2</f>
        <v>60600</v>
      </c>
      <c r="D330" s="108"/>
      <c r="E330" s="108"/>
      <c r="F330" s="108"/>
      <c r="G330" s="108"/>
      <c r="H330" s="108"/>
      <c r="I330" s="108"/>
      <c r="J330" s="108"/>
      <c r="K330" s="108"/>
    </row>
    <row r="331" spans="1:11" ht="12.75">
      <c r="A331" s="108"/>
      <c r="B331" s="109">
        <v>325</v>
      </c>
      <c r="C331" s="116">
        <f>60750*E2</f>
        <v>60750</v>
      </c>
      <c r="D331" s="108"/>
      <c r="E331" s="108"/>
      <c r="F331" s="108"/>
      <c r="G331" s="108"/>
      <c r="H331" s="108"/>
      <c r="I331" s="108"/>
      <c r="J331" s="108"/>
      <c r="K331" s="108"/>
    </row>
    <row r="332" spans="1:11" ht="12.75">
      <c r="A332" s="108"/>
      <c r="B332" s="109">
        <v>326</v>
      </c>
      <c r="C332" s="114">
        <f>60900*E2</f>
        <v>60900</v>
      </c>
      <c r="D332" s="108"/>
      <c r="E332" s="108"/>
      <c r="F332" s="108"/>
      <c r="G332" s="108"/>
      <c r="H332" s="108"/>
      <c r="I332" s="108"/>
      <c r="J332" s="108"/>
      <c r="K332" s="108"/>
    </row>
    <row r="333" spans="1:11" ht="12.75">
      <c r="A333" s="108"/>
      <c r="B333" s="109">
        <v>327</v>
      </c>
      <c r="C333" s="114">
        <f>61050*E2</f>
        <v>61050</v>
      </c>
      <c r="D333" s="108"/>
      <c r="E333" s="108"/>
      <c r="F333" s="108"/>
      <c r="G333" s="108"/>
      <c r="H333" s="108"/>
      <c r="I333" s="108"/>
      <c r="J333" s="108"/>
      <c r="K333" s="108"/>
    </row>
    <row r="334" spans="1:11" ht="12.75">
      <c r="A334" s="108"/>
      <c r="B334" s="109">
        <v>328</v>
      </c>
      <c r="C334" s="114">
        <f>61200*E2</f>
        <v>61200</v>
      </c>
      <c r="D334" s="108"/>
      <c r="E334" s="108"/>
      <c r="F334" s="108"/>
      <c r="G334" s="108"/>
      <c r="H334" s="108"/>
      <c r="I334" s="108"/>
      <c r="J334" s="108"/>
      <c r="K334" s="108"/>
    </row>
    <row r="335" spans="1:11" ht="12.75">
      <c r="A335" s="108"/>
      <c r="B335" s="109">
        <v>329</v>
      </c>
      <c r="C335" s="114">
        <f>61350*E2</f>
        <v>61350</v>
      </c>
      <c r="D335" s="108"/>
      <c r="E335" s="108"/>
      <c r="F335" s="108"/>
      <c r="G335" s="108"/>
      <c r="H335" s="108"/>
      <c r="I335" s="108"/>
      <c r="J335" s="108"/>
      <c r="K335" s="108"/>
    </row>
    <row r="336" spans="1:11" ht="12.75">
      <c r="A336" s="108"/>
      <c r="B336" s="109">
        <v>330</v>
      </c>
      <c r="C336" s="116">
        <f>61500*E2</f>
        <v>61500</v>
      </c>
      <c r="D336" s="108"/>
      <c r="E336" s="108"/>
      <c r="F336" s="108"/>
      <c r="G336" s="108"/>
      <c r="H336" s="108"/>
      <c r="I336" s="108"/>
      <c r="J336" s="108"/>
      <c r="K336" s="108"/>
    </row>
    <row r="337" spans="1:11" ht="12.75">
      <c r="A337" s="108"/>
      <c r="B337" s="109">
        <v>331</v>
      </c>
      <c r="C337" s="114">
        <f>61650*E2</f>
        <v>61650</v>
      </c>
      <c r="D337" s="108"/>
      <c r="E337" s="108"/>
      <c r="F337" s="108"/>
      <c r="G337" s="108"/>
      <c r="H337" s="108"/>
      <c r="I337" s="108"/>
      <c r="J337" s="108"/>
      <c r="K337" s="108"/>
    </row>
    <row r="338" spans="1:11" ht="12.75">
      <c r="A338" s="108"/>
      <c r="B338" s="109">
        <v>332</v>
      </c>
      <c r="C338" s="114">
        <f>61800*E2</f>
        <v>61800</v>
      </c>
      <c r="D338" s="108"/>
      <c r="E338" s="108"/>
      <c r="F338" s="108"/>
      <c r="G338" s="108"/>
      <c r="H338" s="108"/>
      <c r="I338" s="108"/>
      <c r="J338" s="108"/>
      <c r="K338" s="108"/>
    </row>
    <row r="339" spans="1:11" ht="12.75">
      <c r="A339" s="108"/>
      <c r="B339" s="109">
        <v>333</v>
      </c>
      <c r="C339" s="114">
        <f>61950*E2</f>
        <v>61950</v>
      </c>
      <c r="D339" s="108"/>
      <c r="E339" s="108"/>
      <c r="F339" s="108"/>
      <c r="G339" s="108"/>
      <c r="H339" s="108"/>
      <c r="I339" s="108"/>
      <c r="J339" s="108"/>
      <c r="K339" s="108"/>
    </row>
    <row r="340" spans="1:11" ht="12.75">
      <c r="A340" s="108"/>
      <c r="B340" s="109">
        <v>334</v>
      </c>
      <c r="C340" s="114">
        <f>62100*E2</f>
        <v>62100</v>
      </c>
      <c r="D340" s="108"/>
      <c r="E340" s="108"/>
      <c r="F340" s="108"/>
      <c r="G340" s="108"/>
      <c r="H340" s="108"/>
      <c r="I340" s="108"/>
      <c r="J340" s="108"/>
      <c r="K340" s="108"/>
    </row>
    <row r="341" spans="1:11" ht="12.75">
      <c r="A341" s="108"/>
      <c r="B341" s="109">
        <v>335</v>
      </c>
      <c r="C341" s="116">
        <f>62250*E2</f>
        <v>62250</v>
      </c>
      <c r="D341" s="108"/>
      <c r="E341" s="108"/>
      <c r="F341" s="108"/>
      <c r="G341" s="108"/>
      <c r="H341" s="108"/>
      <c r="I341" s="108"/>
      <c r="J341" s="108"/>
      <c r="K341" s="108"/>
    </row>
    <row r="342" spans="1:11" ht="12.75">
      <c r="A342" s="108"/>
      <c r="B342" s="109">
        <v>336</v>
      </c>
      <c r="C342" s="114">
        <f>62400*E2</f>
        <v>62400</v>
      </c>
      <c r="D342" s="108"/>
      <c r="E342" s="108"/>
      <c r="F342" s="108"/>
      <c r="G342" s="108"/>
      <c r="H342" s="108"/>
      <c r="I342" s="108"/>
      <c r="J342" s="108"/>
      <c r="K342" s="108"/>
    </row>
    <row r="343" spans="1:11" ht="12.75">
      <c r="A343" s="108"/>
      <c r="B343" s="109">
        <v>337</v>
      </c>
      <c r="C343" s="114">
        <f>62550*E2</f>
        <v>62550</v>
      </c>
      <c r="D343" s="108"/>
      <c r="E343" s="108"/>
      <c r="F343" s="108"/>
      <c r="G343" s="108"/>
      <c r="H343" s="108"/>
      <c r="I343" s="108"/>
      <c r="J343" s="108"/>
      <c r="K343" s="108"/>
    </row>
    <row r="344" spans="1:11" ht="12.75">
      <c r="A344" s="108"/>
      <c r="B344" s="109">
        <v>338</v>
      </c>
      <c r="C344" s="114">
        <f>62700*E2</f>
        <v>62700</v>
      </c>
      <c r="D344" s="108"/>
      <c r="E344" s="108"/>
      <c r="F344" s="108"/>
      <c r="G344" s="108"/>
      <c r="H344" s="108"/>
      <c r="I344" s="108"/>
      <c r="J344" s="108"/>
      <c r="K344" s="108"/>
    </row>
    <row r="345" spans="1:11" ht="12.75">
      <c r="A345" s="108"/>
      <c r="B345" s="109">
        <v>339</v>
      </c>
      <c r="C345" s="114">
        <f>62850*E2</f>
        <v>62850</v>
      </c>
      <c r="D345" s="108"/>
      <c r="E345" s="108"/>
      <c r="F345" s="108"/>
      <c r="G345" s="108"/>
      <c r="H345" s="108"/>
      <c r="I345" s="108"/>
      <c r="J345" s="108"/>
      <c r="K345" s="108"/>
    </row>
    <row r="346" spans="1:11" ht="12.75">
      <c r="A346" s="108"/>
      <c r="B346" s="109">
        <v>340</v>
      </c>
      <c r="C346" s="116">
        <f>63000*E2</f>
        <v>63000</v>
      </c>
      <c r="D346" s="108"/>
      <c r="E346" s="108"/>
      <c r="F346" s="108"/>
      <c r="G346" s="108"/>
      <c r="H346" s="108"/>
      <c r="I346" s="108"/>
      <c r="J346" s="108"/>
      <c r="K346" s="108"/>
    </row>
    <row r="347" spans="1:11" ht="12.75">
      <c r="A347" s="108"/>
      <c r="B347" s="109">
        <v>341</v>
      </c>
      <c r="C347" s="114">
        <f>63150*E2</f>
        <v>63150</v>
      </c>
      <c r="D347" s="108"/>
      <c r="E347" s="108"/>
      <c r="F347" s="108"/>
      <c r="G347" s="108"/>
      <c r="H347" s="108"/>
      <c r="I347" s="108"/>
      <c r="J347" s="108"/>
      <c r="K347" s="108"/>
    </row>
    <row r="348" spans="1:11" ht="12.75">
      <c r="A348" s="108"/>
      <c r="B348" s="109">
        <v>342</v>
      </c>
      <c r="C348" s="114">
        <f>63300*E2</f>
        <v>63300</v>
      </c>
      <c r="D348" s="108"/>
      <c r="E348" s="108"/>
      <c r="F348" s="108"/>
      <c r="G348" s="108"/>
      <c r="H348" s="108"/>
      <c r="I348" s="108"/>
      <c r="J348" s="108"/>
      <c r="K348" s="108"/>
    </row>
    <row r="349" spans="1:11" ht="12.75">
      <c r="A349" s="108"/>
      <c r="B349" s="109">
        <v>343</v>
      </c>
      <c r="C349" s="114">
        <f>63450*E2</f>
        <v>63450</v>
      </c>
      <c r="D349" s="108"/>
      <c r="E349" s="108"/>
      <c r="F349" s="108"/>
      <c r="G349" s="108"/>
      <c r="H349" s="108"/>
      <c r="I349" s="108"/>
      <c r="J349" s="108"/>
      <c r="K349" s="108"/>
    </row>
    <row r="350" spans="1:11" ht="12.75">
      <c r="A350" s="108"/>
      <c r="B350" s="109">
        <v>344</v>
      </c>
      <c r="C350" s="114">
        <f>63600*E2</f>
        <v>63600</v>
      </c>
      <c r="D350" s="108"/>
      <c r="E350" s="108"/>
      <c r="F350" s="108"/>
      <c r="G350" s="108"/>
      <c r="H350" s="108"/>
      <c r="I350" s="108"/>
      <c r="J350" s="108"/>
      <c r="K350" s="108"/>
    </row>
    <row r="351" spans="1:11" ht="12.75">
      <c r="A351" s="108"/>
      <c r="B351" s="109">
        <v>345</v>
      </c>
      <c r="C351" s="116">
        <f>63750*E2</f>
        <v>63750</v>
      </c>
      <c r="D351" s="108"/>
      <c r="E351" s="108"/>
      <c r="F351" s="108"/>
      <c r="G351" s="108"/>
      <c r="H351" s="108"/>
      <c r="I351" s="108"/>
      <c r="J351" s="108"/>
      <c r="K351" s="108"/>
    </row>
    <row r="352" spans="1:11" ht="12.75">
      <c r="A352" s="108"/>
      <c r="B352" s="109">
        <v>346</v>
      </c>
      <c r="C352" s="114">
        <f>63900*E2</f>
        <v>63900</v>
      </c>
      <c r="D352" s="108"/>
      <c r="E352" s="108"/>
      <c r="F352" s="108"/>
      <c r="G352" s="108"/>
      <c r="H352" s="108"/>
      <c r="I352" s="108"/>
      <c r="J352" s="108"/>
      <c r="K352" s="108"/>
    </row>
    <row r="353" spans="1:11" ht="12.75">
      <c r="A353" s="108"/>
      <c r="B353" s="109">
        <v>347</v>
      </c>
      <c r="C353" s="114">
        <f>64050*E2</f>
        <v>64050</v>
      </c>
      <c r="D353" s="108"/>
      <c r="E353" s="108"/>
      <c r="F353" s="108"/>
      <c r="G353" s="108"/>
      <c r="H353" s="108"/>
      <c r="I353" s="108"/>
      <c r="J353" s="108"/>
      <c r="K353" s="108"/>
    </row>
    <row r="354" spans="1:11" ht="12.75">
      <c r="A354" s="108"/>
      <c r="B354" s="109">
        <v>348</v>
      </c>
      <c r="C354" s="114">
        <f>64200*E2</f>
        <v>64200</v>
      </c>
      <c r="D354" s="108"/>
      <c r="E354" s="108"/>
      <c r="F354" s="108"/>
      <c r="G354" s="108"/>
      <c r="H354" s="108"/>
      <c r="I354" s="108"/>
      <c r="J354" s="108"/>
      <c r="K354" s="108"/>
    </row>
    <row r="355" spans="1:11" ht="12.75">
      <c r="A355" s="108"/>
      <c r="B355" s="109">
        <v>349</v>
      </c>
      <c r="C355" s="114">
        <f>64350*E2</f>
        <v>64350</v>
      </c>
      <c r="D355" s="108"/>
      <c r="E355" s="108"/>
      <c r="F355" s="108"/>
      <c r="G355" s="108"/>
      <c r="H355" s="108"/>
      <c r="I355" s="108"/>
      <c r="J355" s="108"/>
      <c r="K355" s="108"/>
    </row>
    <row r="356" spans="1:11" ht="12.75">
      <c r="A356" s="108"/>
      <c r="B356" s="109">
        <v>350</v>
      </c>
      <c r="C356" s="116">
        <f>64500*E2</f>
        <v>64500</v>
      </c>
      <c r="D356" s="108"/>
      <c r="E356" s="108"/>
      <c r="F356" s="108"/>
      <c r="G356" s="108"/>
      <c r="H356" s="108"/>
      <c r="I356" s="108"/>
      <c r="J356" s="108"/>
      <c r="K356" s="108"/>
    </row>
    <row r="357" spans="1:11" ht="12.75">
      <c r="A357" s="108"/>
      <c r="B357" s="109">
        <v>351</v>
      </c>
      <c r="C357" s="114">
        <f>64650*E2</f>
        <v>64650</v>
      </c>
      <c r="D357" s="108"/>
      <c r="E357" s="108"/>
      <c r="F357" s="108"/>
      <c r="G357" s="108"/>
      <c r="H357" s="108"/>
      <c r="I357" s="108"/>
      <c r="J357" s="108"/>
      <c r="K357" s="108"/>
    </row>
    <row r="358" spans="1:11" ht="12.75">
      <c r="A358" s="108"/>
      <c r="B358" s="109">
        <v>352</v>
      </c>
      <c r="C358" s="114">
        <f>64800*E2</f>
        <v>64800</v>
      </c>
      <c r="D358" s="108"/>
      <c r="E358" s="108"/>
      <c r="F358" s="108"/>
      <c r="G358" s="108"/>
      <c r="H358" s="108"/>
      <c r="I358" s="108"/>
      <c r="J358" s="108"/>
      <c r="K358" s="108"/>
    </row>
    <row r="359" spans="1:11" ht="12.75">
      <c r="A359" s="108"/>
      <c r="B359" s="109">
        <v>353</v>
      </c>
      <c r="C359" s="114">
        <f>64950*E2</f>
        <v>64950</v>
      </c>
      <c r="D359" s="108"/>
      <c r="E359" s="108"/>
      <c r="F359" s="108"/>
      <c r="G359" s="108"/>
      <c r="H359" s="108"/>
      <c r="I359" s="108"/>
      <c r="J359" s="108"/>
      <c r="K359" s="108"/>
    </row>
    <row r="360" spans="1:11" ht="12.75">
      <c r="A360" s="108"/>
      <c r="B360" s="109">
        <v>354</v>
      </c>
      <c r="C360" s="114">
        <f>65100*E2</f>
        <v>65100</v>
      </c>
      <c r="D360" s="108"/>
      <c r="E360" s="108"/>
      <c r="F360" s="108"/>
      <c r="G360" s="108"/>
      <c r="H360" s="108"/>
      <c r="I360" s="108"/>
      <c r="J360" s="108"/>
      <c r="K360" s="108"/>
    </row>
    <row r="361" spans="1:11" ht="12.75">
      <c r="A361" s="108"/>
      <c r="B361" s="109">
        <v>355</v>
      </c>
      <c r="C361" s="116">
        <f>65250*E2</f>
        <v>65250</v>
      </c>
      <c r="D361" s="108"/>
      <c r="E361" s="108"/>
      <c r="F361" s="108"/>
      <c r="G361" s="108"/>
      <c r="H361" s="108"/>
      <c r="I361" s="108"/>
      <c r="J361" s="108"/>
      <c r="K361" s="108"/>
    </row>
    <row r="362" spans="1:11" ht="12.75">
      <c r="A362" s="108"/>
      <c r="B362" s="109">
        <v>356</v>
      </c>
      <c r="C362" s="114">
        <f>65400*E2</f>
        <v>65400</v>
      </c>
      <c r="D362" s="108"/>
      <c r="E362" s="108"/>
      <c r="F362" s="108"/>
      <c r="G362" s="108"/>
      <c r="H362" s="108"/>
      <c r="I362" s="108"/>
      <c r="J362" s="108"/>
      <c r="K362" s="108"/>
    </row>
    <row r="363" spans="1:11" ht="12.75">
      <c r="A363" s="108"/>
      <c r="B363" s="109">
        <v>357</v>
      </c>
      <c r="C363" s="114">
        <f>65550*E2</f>
        <v>65550</v>
      </c>
      <c r="D363" s="108"/>
      <c r="E363" s="108"/>
      <c r="F363" s="108"/>
      <c r="G363" s="108"/>
      <c r="H363" s="108"/>
      <c r="I363" s="108"/>
      <c r="J363" s="108"/>
      <c r="K363" s="108"/>
    </row>
    <row r="364" spans="1:11" ht="12.75">
      <c r="A364" s="108"/>
      <c r="B364" s="109">
        <v>358</v>
      </c>
      <c r="C364" s="114">
        <f>65700*E2</f>
        <v>65700</v>
      </c>
      <c r="D364" s="108"/>
      <c r="E364" s="108"/>
      <c r="F364" s="108"/>
      <c r="G364" s="108"/>
      <c r="H364" s="108"/>
      <c r="I364" s="108"/>
      <c r="J364" s="108"/>
      <c r="K364" s="108"/>
    </row>
    <row r="365" spans="1:11" ht="12.75">
      <c r="A365" s="108"/>
      <c r="B365" s="109">
        <v>359</v>
      </c>
      <c r="C365" s="114">
        <f>65850*E2</f>
        <v>65850</v>
      </c>
      <c r="D365" s="108"/>
      <c r="E365" s="108"/>
      <c r="F365" s="108"/>
      <c r="G365" s="108"/>
      <c r="H365" s="108"/>
      <c r="I365" s="108"/>
      <c r="J365" s="108"/>
      <c r="K365" s="108"/>
    </row>
    <row r="366" spans="1:11" ht="12.75">
      <c r="A366" s="108"/>
      <c r="B366" s="109">
        <v>360</v>
      </c>
      <c r="C366" s="116">
        <f>66000*E2</f>
        <v>66000</v>
      </c>
      <c r="D366" s="108"/>
      <c r="E366" s="108"/>
      <c r="F366" s="108"/>
      <c r="G366" s="108"/>
      <c r="H366" s="108"/>
      <c r="I366" s="108"/>
      <c r="J366" s="108"/>
      <c r="K366" s="108"/>
    </row>
    <row r="367" spans="1:11" ht="12.75">
      <c r="A367" s="108"/>
      <c r="B367" s="109">
        <v>361</v>
      </c>
      <c r="C367" s="114">
        <f>66150*E2</f>
        <v>66150</v>
      </c>
      <c r="D367" s="108"/>
      <c r="E367" s="108"/>
      <c r="F367" s="108"/>
      <c r="G367" s="108"/>
      <c r="H367" s="108"/>
      <c r="I367" s="108"/>
      <c r="J367" s="108"/>
      <c r="K367" s="108"/>
    </row>
    <row r="368" spans="1:11" ht="12.75">
      <c r="A368" s="108"/>
      <c r="B368" s="109">
        <v>362</v>
      </c>
      <c r="C368" s="114">
        <f>66300*E2</f>
        <v>66300</v>
      </c>
      <c r="D368" s="108"/>
      <c r="E368" s="108"/>
      <c r="F368" s="108"/>
      <c r="G368" s="108"/>
      <c r="H368" s="108"/>
      <c r="I368" s="108"/>
      <c r="J368" s="108"/>
      <c r="K368" s="108"/>
    </row>
    <row r="369" spans="1:11" ht="12.75">
      <c r="A369" s="108"/>
      <c r="B369" s="109">
        <v>363</v>
      </c>
      <c r="C369" s="114">
        <f>66450*E2</f>
        <v>66450</v>
      </c>
      <c r="D369" s="108"/>
      <c r="E369" s="108"/>
      <c r="F369" s="108"/>
      <c r="G369" s="108"/>
      <c r="H369" s="108"/>
      <c r="I369" s="108"/>
      <c r="J369" s="108"/>
      <c r="K369" s="108"/>
    </row>
    <row r="370" spans="1:11" ht="12.75">
      <c r="A370" s="108"/>
      <c r="B370" s="109">
        <v>364</v>
      </c>
      <c r="C370" s="114">
        <f>66600*E2</f>
        <v>66600</v>
      </c>
      <c r="D370" s="108"/>
      <c r="E370" s="108"/>
      <c r="F370" s="108"/>
      <c r="G370" s="108"/>
      <c r="H370" s="108"/>
      <c r="I370" s="108"/>
      <c r="J370" s="108"/>
      <c r="K370" s="108"/>
    </row>
    <row r="371" spans="1:11" ht="12.75">
      <c r="A371" s="108"/>
      <c r="B371" s="109">
        <v>365</v>
      </c>
      <c r="C371" s="116">
        <f>66750*E2</f>
        <v>66750</v>
      </c>
      <c r="D371" s="108"/>
      <c r="E371" s="108"/>
      <c r="F371" s="108"/>
      <c r="G371" s="108"/>
      <c r="H371" s="108"/>
      <c r="I371" s="108"/>
      <c r="J371" s="108"/>
      <c r="K371" s="108"/>
    </row>
    <row r="372" spans="1:11" ht="12.75">
      <c r="A372" s="108"/>
      <c r="B372" s="109">
        <v>366</v>
      </c>
      <c r="C372" s="114">
        <f>66900*E2</f>
        <v>66900</v>
      </c>
      <c r="D372" s="108"/>
      <c r="E372" s="108"/>
      <c r="F372" s="108"/>
      <c r="G372" s="108"/>
      <c r="H372" s="108"/>
      <c r="I372" s="108"/>
      <c r="J372" s="108"/>
      <c r="K372" s="108"/>
    </row>
    <row r="373" spans="1:11" ht="12.75">
      <c r="A373" s="108"/>
      <c r="B373" s="109">
        <v>367</v>
      </c>
      <c r="C373" s="114">
        <f>67050*E2</f>
        <v>67050</v>
      </c>
      <c r="D373" s="108"/>
      <c r="E373" s="108"/>
      <c r="F373" s="108"/>
      <c r="G373" s="108"/>
      <c r="H373" s="108"/>
      <c r="I373" s="108"/>
      <c r="J373" s="108"/>
      <c r="K373" s="108"/>
    </row>
    <row r="374" spans="1:11" ht="12.75">
      <c r="A374" s="108"/>
      <c r="B374" s="109">
        <v>368</v>
      </c>
      <c r="C374" s="114">
        <f>67200*E2</f>
        <v>67200</v>
      </c>
      <c r="D374" s="108"/>
      <c r="E374" s="108"/>
      <c r="F374" s="108"/>
      <c r="G374" s="108"/>
      <c r="H374" s="108"/>
      <c r="I374" s="108"/>
      <c r="J374" s="108"/>
      <c r="K374" s="108"/>
    </row>
    <row r="375" spans="1:11" ht="12.75">
      <c r="A375" s="108"/>
      <c r="B375" s="109">
        <v>369</v>
      </c>
      <c r="C375" s="114">
        <f>67350*E2</f>
        <v>67350</v>
      </c>
      <c r="D375" s="108"/>
      <c r="E375" s="108"/>
      <c r="F375" s="108"/>
      <c r="G375" s="108"/>
      <c r="H375" s="108"/>
      <c r="I375" s="108"/>
      <c r="J375" s="108"/>
      <c r="K375" s="108"/>
    </row>
    <row r="376" spans="1:11" ht="12.75">
      <c r="A376" s="108"/>
      <c r="B376" s="109">
        <v>370</v>
      </c>
      <c r="C376" s="116">
        <f>67500*E2</f>
        <v>67500</v>
      </c>
      <c r="D376" s="108"/>
      <c r="E376" s="108"/>
      <c r="F376" s="108"/>
      <c r="G376" s="108"/>
      <c r="H376" s="108"/>
      <c r="I376" s="108"/>
      <c r="J376" s="108"/>
      <c r="K376" s="108"/>
    </row>
    <row r="377" spans="1:11" ht="12.75">
      <c r="A377" s="108"/>
      <c r="B377" s="109">
        <v>371</v>
      </c>
      <c r="C377" s="114">
        <f>67650*E2</f>
        <v>67650</v>
      </c>
      <c r="D377" s="108"/>
      <c r="E377" s="108"/>
      <c r="F377" s="108"/>
      <c r="G377" s="108"/>
      <c r="H377" s="108"/>
      <c r="I377" s="108"/>
      <c r="J377" s="108"/>
      <c r="K377" s="108"/>
    </row>
    <row r="378" spans="1:11" ht="12.75">
      <c r="A378" s="108"/>
      <c r="B378" s="109">
        <v>372</v>
      </c>
      <c r="C378" s="114">
        <f>37800*E2</f>
        <v>37800</v>
      </c>
      <c r="D378" s="108"/>
      <c r="E378" s="108"/>
      <c r="F378" s="108"/>
      <c r="G378" s="108"/>
      <c r="H378" s="108"/>
      <c r="I378" s="108"/>
      <c r="J378" s="108"/>
      <c r="K378" s="108"/>
    </row>
    <row r="379" spans="1:11" ht="12.75">
      <c r="A379" s="108"/>
      <c r="B379" s="109">
        <v>373</v>
      </c>
      <c r="C379" s="114">
        <f>67950*E2</f>
        <v>67950</v>
      </c>
      <c r="D379" s="108"/>
      <c r="E379" s="108"/>
      <c r="F379" s="108"/>
      <c r="G379" s="108"/>
      <c r="H379" s="108"/>
      <c r="I379" s="108"/>
      <c r="J379" s="108"/>
      <c r="K379" s="108"/>
    </row>
    <row r="380" spans="1:11" ht="12.75">
      <c r="A380" s="108"/>
      <c r="B380" s="109">
        <v>374</v>
      </c>
      <c r="C380" s="114">
        <f>68100*E2</f>
        <v>68100</v>
      </c>
      <c r="D380" s="108"/>
      <c r="E380" s="108"/>
      <c r="F380" s="108"/>
      <c r="G380" s="108"/>
      <c r="H380" s="108"/>
      <c r="I380" s="108"/>
      <c r="J380" s="108"/>
      <c r="K380" s="108"/>
    </row>
    <row r="381" spans="1:11" ht="12.75">
      <c r="A381" s="108"/>
      <c r="B381" s="109">
        <v>375</v>
      </c>
      <c r="C381" s="116">
        <f>68250*E2</f>
        <v>68250</v>
      </c>
      <c r="D381" s="108"/>
      <c r="E381" s="108"/>
      <c r="F381" s="108"/>
      <c r="G381" s="108"/>
      <c r="H381" s="108"/>
      <c r="I381" s="108"/>
      <c r="J381" s="108"/>
      <c r="K381" s="108"/>
    </row>
    <row r="382" spans="1:11" ht="12.75">
      <c r="A382" s="108"/>
      <c r="B382" s="109">
        <v>376</v>
      </c>
      <c r="C382" s="114">
        <f>68400*E2</f>
        <v>68400</v>
      </c>
      <c r="D382" s="108"/>
      <c r="E382" s="108"/>
      <c r="F382" s="108"/>
      <c r="G382" s="108"/>
      <c r="H382" s="108"/>
      <c r="I382" s="108"/>
      <c r="J382" s="108"/>
      <c r="K382" s="108"/>
    </row>
    <row r="383" spans="1:11" ht="12.75">
      <c r="A383" s="108"/>
      <c r="B383" s="109">
        <v>377</v>
      </c>
      <c r="C383" s="114">
        <f>68550*E2</f>
        <v>68550</v>
      </c>
      <c r="D383" s="108"/>
      <c r="E383" s="108"/>
      <c r="F383" s="108"/>
      <c r="G383" s="108"/>
      <c r="H383" s="108"/>
      <c r="I383" s="108"/>
      <c r="J383" s="108"/>
      <c r="K383" s="108"/>
    </row>
    <row r="384" spans="1:11" ht="12.75">
      <c r="A384" s="108"/>
      <c r="B384" s="109">
        <v>378</v>
      </c>
      <c r="C384" s="114">
        <f>68700*E2</f>
        <v>68700</v>
      </c>
      <c r="D384" s="108"/>
      <c r="E384" s="108"/>
      <c r="F384" s="108"/>
      <c r="G384" s="108"/>
      <c r="H384" s="108"/>
      <c r="I384" s="108"/>
      <c r="J384" s="108"/>
      <c r="K384" s="108"/>
    </row>
    <row r="385" spans="1:11" ht="12.75">
      <c r="A385" s="108"/>
      <c r="B385" s="109">
        <v>379</v>
      </c>
      <c r="C385" s="114">
        <f>68850*E2</f>
        <v>68850</v>
      </c>
      <c r="D385" s="108"/>
      <c r="E385" s="108"/>
      <c r="F385" s="108"/>
      <c r="G385" s="108"/>
      <c r="H385" s="108"/>
      <c r="I385" s="108"/>
      <c r="J385" s="108"/>
      <c r="K385" s="108"/>
    </row>
    <row r="386" spans="1:11" ht="12.75">
      <c r="A386" s="108"/>
      <c r="B386" s="109">
        <v>380</v>
      </c>
      <c r="C386" s="116">
        <f>69000*E2</f>
        <v>69000</v>
      </c>
      <c r="D386" s="108"/>
      <c r="E386" s="108"/>
      <c r="F386" s="108"/>
      <c r="G386" s="108"/>
      <c r="H386" s="108"/>
      <c r="I386" s="108"/>
      <c r="J386" s="108"/>
      <c r="K386" s="108"/>
    </row>
    <row r="387" spans="1:11" ht="12.75">
      <c r="A387" s="108"/>
      <c r="B387" s="109">
        <v>381</v>
      </c>
      <c r="C387" s="114">
        <f>69150*E2</f>
        <v>69150</v>
      </c>
      <c r="D387" s="108"/>
      <c r="E387" s="108"/>
      <c r="F387" s="108"/>
      <c r="G387" s="108"/>
      <c r="H387" s="108"/>
      <c r="I387" s="108"/>
      <c r="J387" s="108"/>
      <c r="K387" s="108"/>
    </row>
    <row r="388" spans="1:11" ht="12.75">
      <c r="A388" s="108"/>
      <c r="B388" s="109">
        <v>382</v>
      </c>
      <c r="C388" s="114">
        <f>69300*E2</f>
        <v>69300</v>
      </c>
      <c r="D388" s="108"/>
      <c r="E388" s="108"/>
      <c r="F388" s="108"/>
      <c r="G388" s="108"/>
      <c r="H388" s="108"/>
      <c r="I388" s="108"/>
      <c r="J388" s="108"/>
      <c r="K388" s="108"/>
    </row>
    <row r="389" spans="1:11" ht="12.75">
      <c r="A389" s="108"/>
      <c r="B389" s="109">
        <v>383</v>
      </c>
      <c r="C389" s="114">
        <f>69450*E2</f>
        <v>69450</v>
      </c>
      <c r="D389" s="108"/>
      <c r="E389" s="108"/>
      <c r="F389" s="108"/>
      <c r="G389" s="108"/>
      <c r="H389" s="108"/>
      <c r="I389" s="108"/>
      <c r="J389" s="108"/>
      <c r="K389" s="108"/>
    </row>
    <row r="390" spans="1:11" ht="12.75">
      <c r="A390" s="108"/>
      <c r="B390" s="109">
        <v>384</v>
      </c>
      <c r="C390" s="114">
        <f>69600*E2</f>
        <v>69600</v>
      </c>
      <c r="D390" s="108"/>
      <c r="E390" s="108"/>
      <c r="F390" s="108"/>
      <c r="G390" s="108"/>
      <c r="H390" s="108"/>
      <c r="I390" s="108"/>
      <c r="J390" s="108"/>
      <c r="K390" s="108"/>
    </row>
    <row r="391" spans="1:11" ht="12.75">
      <c r="A391" s="108"/>
      <c r="B391" s="109">
        <v>385</v>
      </c>
      <c r="C391" s="116">
        <f>69750*E2</f>
        <v>69750</v>
      </c>
      <c r="D391" s="108"/>
      <c r="E391" s="108"/>
      <c r="F391" s="108"/>
      <c r="G391" s="108"/>
      <c r="H391" s="108"/>
      <c r="I391" s="108"/>
      <c r="J391" s="108"/>
      <c r="K391" s="108"/>
    </row>
    <row r="392" spans="1:11" ht="12.75">
      <c r="A392" s="108"/>
      <c r="B392" s="109">
        <v>386</v>
      </c>
      <c r="C392" s="114">
        <f>69900*E2</f>
        <v>69900</v>
      </c>
      <c r="D392" s="108"/>
      <c r="E392" s="108"/>
      <c r="F392" s="108"/>
      <c r="G392" s="108"/>
      <c r="H392" s="108"/>
      <c r="I392" s="108"/>
      <c r="J392" s="108"/>
      <c r="K392" s="108"/>
    </row>
    <row r="393" spans="1:11" ht="12.75">
      <c r="A393" s="108"/>
      <c r="B393" s="109">
        <v>387</v>
      </c>
      <c r="C393" s="114">
        <f>70050*E2</f>
        <v>70050</v>
      </c>
      <c r="D393" s="108"/>
      <c r="E393" s="108"/>
      <c r="F393" s="108"/>
      <c r="G393" s="108"/>
      <c r="H393" s="108"/>
      <c r="I393" s="108"/>
      <c r="J393" s="108"/>
      <c r="K393" s="108"/>
    </row>
    <row r="394" spans="1:11" ht="12.75">
      <c r="A394" s="108"/>
      <c r="B394" s="109">
        <v>388</v>
      </c>
      <c r="C394" s="114">
        <f>70200*E2</f>
        <v>70200</v>
      </c>
      <c r="D394" s="108"/>
      <c r="E394" s="108"/>
      <c r="F394" s="108"/>
      <c r="G394" s="108"/>
      <c r="H394" s="108"/>
      <c r="I394" s="108"/>
      <c r="J394" s="108"/>
      <c r="K394" s="108"/>
    </row>
    <row r="395" spans="1:11" ht="12.75">
      <c r="A395" s="108"/>
      <c r="B395" s="109">
        <v>389</v>
      </c>
      <c r="C395" s="114">
        <f>70350*E2</f>
        <v>70350</v>
      </c>
      <c r="D395" s="108"/>
      <c r="E395" s="108"/>
      <c r="F395" s="108"/>
      <c r="G395" s="108"/>
      <c r="H395" s="108"/>
      <c r="I395" s="108"/>
      <c r="J395" s="108"/>
      <c r="K395" s="108"/>
    </row>
    <row r="396" spans="1:11" ht="12.75">
      <c r="A396" s="108"/>
      <c r="B396" s="109">
        <v>390</v>
      </c>
      <c r="C396" s="116">
        <f>70500*E2</f>
        <v>70500</v>
      </c>
      <c r="D396" s="108"/>
      <c r="E396" s="108"/>
      <c r="F396" s="108"/>
      <c r="G396" s="108"/>
      <c r="H396" s="108"/>
      <c r="I396" s="108"/>
      <c r="J396" s="108"/>
      <c r="K396" s="108"/>
    </row>
    <row r="397" spans="1:11" ht="12.75">
      <c r="A397" s="108"/>
      <c r="B397" s="109">
        <v>391</v>
      </c>
      <c r="C397" s="114">
        <f>70650*E2</f>
        <v>70650</v>
      </c>
      <c r="D397" s="108"/>
      <c r="E397" s="108"/>
      <c r="F397" s="108"/>
      <c r="G397" s="108"/>
      <c r="H397" s="108"/>
      <c r="I397" s="108"/>
      <c r="J397" s="108"/>
      <c r="K397" s="108"/>
    </row>
    <row r="398" spans="1:11" ht="12.75">
      <c r="A398" s="108"/>
      <c r="B398" s="109">
        <v>392</v>
      </c>
      <c r="C398" s="114">
        <f>70800*E2</f>
        <v>70800</v>
      </c>
      <c r="D398" s="108"/>
      <c r="E398" s="108"/>
      <c r="F398" s="108"/>
      <c r="G398" s="108"/>
      <c r="H398" s="108"/>
      <c r="I398" s="108"/>
      <c r="J398" s="108"/>
      <c r="K398" s="108"/>
    </row>
    <row r="399" spans="1:11" ht="12.75">
      <c r="A399" s="108"/>
      <c r="B399" s="109">
        <v>393</v>
      </c>
      <c r="C399" s="114">
        <f>70950*E2</f>
        <v>70950</v>
      </c>
      <c r="D399" s="108"/>
      <c r="E399" s="108"/>
      <c r="F399" s="108"/>
      <c r="G399" s="108"/>
      <c r="H399" s="108"/>
      <c r="I399" s="108"/>
      <c r="J399" s="108"/>
      <c r="K399" s="108"/>
    </row>
    <row r="400" spans="1:11" ht="12.75">
      <c r="A400" s="108"/>
      <c r="B400" s="109">
        <v>394</v>
      </c>
      <c r="C400" s="114">
        <f>71100*E2</f>
        <v>71100</v>
      </c>
      <c r="D400" s="108"/>
      <c r="E400" s="108"/>
      <c r="F400" s="108"/>
      <c r="G400" s="108"/>
      <c r="H400" s="108"/>
      <c r="I400" s="108"/>
      <c r="J400" s="108"/>
      <c r="K400" s="108"/>
    </row>
    <row r="401" spans="1:11" ht="12.75">
      <c r="A401" s="108"/>
      <c r="B401" s="109">
        <v>395</v>
      </c>
      <c r="C401" s="116">
        <f>71250*E2</f>
        <v>71250</v>
      </c>
      <c r="D401" s="108"/>
      <c r="E401" s="108"/>
      <c r="F401" s="108"/>
      <c r="G401" s="108"/>
      <c r="H401" s="108"/>
      <c r="I401" s="108"/>
      <c r="J401" s="108"/>
      <c r="K401" s="108"/>
    </row>
    <row r="402" spans="1:11" ht="12.75">
      <c r="A402" s="108"/>
      <c r="B402" s="109">
        <v>396</v>
      </c>
      <c r="C402" s="114">
        <f>71400*E2</f>
        <v>71400</v>
      </c>
      <c r="D402" s="108"/>
      <c r="E402" s="108"/>
      <c r="F402" s="108"/>
      <c r="G402" s="108"/>
      <c r="H402" s="108"/>
      <c r="I402" s="108"/>
      <c r="J402" s="108"/>
      <c r="K402" s="108"/>
    </row>
    <row r="403" spans="1:11" ht="12.75">
      <c r="A403" s="108"/>
      <c r="B403" s="109">
        <v>397</v>
      </c>
      <c r="C403" s="114">
        <f>71550*E2</f>
        <v>71550</v>
      </c>
      <c r="D403" s="108"/>
      <c r="E403" s="108"/>
      <c r="F403" s="108"/>
      <c r="G403" s="108"/>
      <c r="H403" s="108"/>
      <c r="I403" s="108"/>
      <c r="J403" s="108"/>
      <c r="K403" s="108"/>
    </row>
    <row r="404" spans="1:11" ht="12.75">
      <c r="A404" s="108"/>
      <c r="B404" s="109">
        <v>398</v>
      </c>
      <c r="C404" s="114">
        <f>71700*E2</f>
        <v>71700</v>
      </c>
      <c r="D404" s="108"/>
      <c r="E404" s="108"/>
      <c r="F404" s="108"/>
      <c r="G404" s="108"/>
      <c r="H404" s="108"/>
      <c r="I404" s="108"/>
      <c r="J404" s="108"/>
      <c r="K404" s="108"/>
    </row>
    <row r="405" spans="1:11" ht="12.75">
      <c r="A405" s="108"/>
      <c r="B405" s="109">
        <v>399</v>
      </c>
      <c r="C405" s="114">
        <f>71850*E2</f>
        <v>71850</v>
      </c>
      <c r="D405" s="108"/>
      <c r="E405" s="108"/>
      <c r="F405" s="108"/>
      <c r="G405" s="108"/>
      <c r="H405" s="108"/>
      <c r="I405" s="108"/>
      <c r="J405" s="108"/>
      <c r="K405" s="108"/>
    </row>
    <row r="406" spans="1:11" ht="12.75">
      <c r="A406" s="108"/>
      <c r="B406" s="109">
        <v>400</v>
      </c>
      <c r="C406" s="116">
        <f>72000*E2</f>
        <v>72000</v>
      </c>
      <c r="D406" s="108"/>
      <c r="E406" s="108"/>
      <c r="F406" s="108"/>
      <c r="G406" s="108"/>
      <c r="H406" s="108"/>
      <c r="I406" s="108"/>
      <c r="J406" s="108"/>
      <c r="K406" s="108"/>
    </row>
    <row r="407" spans="1:11" ht="12.75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1:11" ht="12.75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1:11" ht="12.75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/>
  <dimension ref="A2:O97"/>
  <sheetViews>
    <sheetView showGridLines="0" tabSelected="1"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25.7109375" style="1" customWidth="1"/>
    <col min="4" max="4" width="28.7109375" style="1" customWidth="1"/>
    <col min="5" max="5" width="19.7109375" style="1" customWidth="1"/>
    <col min="6" max="6" width="26.57421875" style="1" customWidth="1"/>
    <col min="7" max="7" width="22.7109375" style="1" customWidth="1"/>
    <col min="8" max="8" width="23.00390625" style="1" customWidth="1"/>
    <col min="9" max="9" width="7.57421875" style="1" customWidth="1"/>
    <col min="10" max="10" width="20.28125" style="1" customWidth="1"/>
    <col min="11" max="16384" width="9.140625" style="1" customWidth="1"/>
  </cols>
  <sheetData>
    <row r="2" spans="3:8" ht="21.75" customHeight="1">
      <c r="C2" s="124" t="s">
        <v>303</v>
      </c>
      <c r="D2" s="125"/>
      <c r="E2" s="126"/>
      <c r="F2" s="124"/>
      <c r="G2" s="247"/>
      <c r="H2" s="247"/>
    </row>
    <row r="3" spans="3:8" ht="21.75" customHeight="1">
      <c r="C3" s="124"/>
      <c r="D3" s="126"/>
      <c r="E3" s="126"/>
      <c r="F3" s="126"/>
      <c r="G3" s="126"/>
      <c r="H3" s="126"/>
    </row>
    <row r="4" spans="1:8" ht="22.5" customHeight="1">
      <c r="A4" s="1" t="s">
        <v>304</v>
      </c>
      <c r="C4" s="124" t="s">
        <v>305</v>
      </c>
      <c r="D4" s="248"/>
      <c r="E4" s="248"/>
      <c r="F4" s="124" t="s">
        <v>306</v>
      </c>
      <c r="G4" s="248"/>
      <c r="H4" s="248"/>
    </row>
    <row r="5" spans="3:8" s="83" customFormat="1" ht="22.5" customHeight="1">
      <c r="C5" s="127"/>
      <c r="D5" s="128"/>
      <c r="E5" s="129"/>
      <c r="F5" s="127"/>
      <c r="G5" s="128"/>
      <c r="H5" s="129"/>
    </row>
    <row r="6" spans="3:8" s="83" customFormat="1" ht="22.5" customHeight="1">
      <c r="C6" s="127"/>
      <c r="D6" s="128"/>
      <c r="E6" s="129"/>
      <c r="F6" s="127"/>
      <c r="G6" s="249" t="s">
        <v>307</v>
      </c>
      <c r="H6" s="249"/>
    </row>
    <row r="7" ht="13.5" customHeight="1"/>
    <row r="8" spans="2:10" ht="24.75" customHeight="1">
      <c r="B8" s="250" t="s">
        <v>308</v>
      </c>
      <c r="C8" s="250"/>
      <c r="D8" s="250"/>
      <c r="E8" s="250"/>
      <c r="F8" s="250"/>
      <c r="G8" s="250"/>
      <c r="H8" s="250"/>
      <c r="I8" s="130"/>
      <c r="J8" s="131"/>
    </row>
    <row r="9" spans="3:10" ht="12" customHeight="1">
      <c r="C9" s="132"/>
      <c r="D9" s="132"/>
      <c r="E9" s="132"/>
      <c r="F9" s="132"/>
      <c r="G9" s="132"/>
      <c r="H9" s="132"/>
      <c r="I9" s="130"/>
      <c r="J9" s="131"/>
    </row>
    <row r="10" spans="2:10" ht="24.75" customHeight="1">
      <c r="B10" s="250" t="s">
        <v>309</v>
      </c>
      <c r="C10" s="250"/>
      <c r="D10" s="250"/>
      <c r="E10" s="250"/>
      <c r="F10" s="250"/>
      <c r="G10" s="250"/>
      <c r="H10" s="250"/>
      <c r="I10" s="130"/>
      <c r="J10" s="131"/>
    </row>
    <row r="11" spans="3:10" ht="12.75" customHeight="1">
      <c r="C11" s="133"/>
      <c r="D11" s="132"/>
      <c r="E11" s="132"/>
      <c r="F11" s="132"/>
      <c r="G11" s="132"/>
      <c r="H11" s="132"/>
      <c r="I11" s="130"/>
      <c r="J11" s="131"/>
    </row>
    <row r="12" spans="2:10" ht="24.75" customHeight="1">
      <c r="B12" s="241" t="s">
        <v>310</v>
      </c>
      <c r="C12" s="241"/>
      <c r="D12" s="241"/>
      <c r="E12" s="241"/>
      <c r="F12" s="241"/>
      <c r="G12" s="241"/>
      <c r="H12" s="241"/>
      <c r="I12" s="130"/>
      <c r="J12" s="131"/>
    </row>
    <row r="13" spans="3:8" ht="13.5" customHeight="1">
      <c r="C13" s="17"/>
      <c r="D13" s="17"/>
      <c r="E13" s="17"/>
      <c r="F13" s="17"/>
      <c r="H13" s="81"/>
    </row>
    <row r="14" spans="4:7" ht="18.75" customHeight="1">
      <c r="D14" s="134"/>
      <c r="E14" s="135"/>
      <c r="G14" s="136" t="str">
        <f>x!F2</f>
        <v>Vigente desde el 01/04/2024</v>
      </c>
    </row>
    <row r="15" spans="3:8" ht="9" customHeight="1">
      <c r="C15" s="137"/>
      <c r="D15" s="56"/>
      <c r="E15" s="56"/>
      <c r="F15" s="56"/>
      <c r="G15" s="56"/>
      <c r="H15" s="137"/>
    </row>
    <row r="16" spans="3:15" s="83" customFormat="1" ht="13.5" customHeight="1" hidden="1">
      <c r="C16" s="138"/>
      <c r="D16" s="139"/>
      <c r="E16" s="139"/>
      <c r="F16" s="139"/>
      <c r="G16" s="139"/>
      <c r="H16" s="137"/>
      <c r="I16" s="138"/>
      <c r="J16" s="138"/>
      <c r="K16" s="138"/>
      <c r="L16" s="138"/>
      <c r="M16" s="138"/>
      <c r="N16" s="138"/>
      <c r="O16" s="138"/>
    </row>
    <row r="17" spans="2:10" s="83" customFormat="1" ht="22.5" customHeight="1">
      <c r="B17" s="140" t="s">
        <v>311</v>
      </c>
      <c r="C17" s="141"/>
      <c r="D17" s="142"/>
      <c r="E17" s="143"/>
      <c r="F17" s="143"/>
      <c r="G17" s="143"/>
      <c r="H17" s="144"/>
      <c r="I17" s="144"/>
      <c r="J17" s="144"/>
    </row>
    <row r="18" spans="2:10" s="83" customFormat="1" ht="15" customHeight="1">
      <c r="B18" s="140"/>
      <c r="C18" s="141"/>
      <c r="D18" s="142"/>
      <c r="E18" s="143"/>
      <c r="F18" s="143"/>
      <c r="G18" s="143"/>
      <c r="H18" s="144"/>
      <c r="I18" s="144"/>
      <c r="J18" s="144"/>
    </row>
    <row r="19" spans="3:15" s="83" customFormat="1" ht="22.5" customHeight="1">
      <c r="C19" s="242" t="s">
        <v>312</v>
      </c>
      <c r="D19" s="242"/>
      <c r="E19" s="242"/>
      <c r="F19" s="143"/>
      <c r="G19" s="143"/>
      <c r="H19" s="144"/>
      <c r="I19" s="144"/>
      <c r="J19" s="144"/>
      <c r="N19" s="146"/>
      <c r="O19" s="146"/>
    </row>
    <row r="20" spans="3:15" s="83" customFormat="1" ht="14.25" customHeight="1">
      <c r="C20" s="147"/>
      <c r="D20" s="142"/>
      <c r="E20" s="143"/>
      <c r="F20" s="143"/>
      <c r="G20" s="143"/>
      <c r="H20" s="144"/>
      <c r="I20" s="144"/>
      <c r="J20" s="144"/>
      <c r="N20" s="146"/>
      <c r="O20" s="146"/>
    </row>
    <row r="21" spans="2:15" s="83" customFormat="1" ht="20.25" customHeight="1">
      <c r="B21" s="148" t="s">
        <v>313</v>
      </c>
      <c r="C21" s="147"/>
      <c r="D21" s="142"/>
      <c r="E21" s="143"/>
      <c r="F21" s="143"/>
      <c r="G21" s="143"/>
      <c r="H21" s="144"/>
      <c r="I21" s="144"/>
      <c r="J21" s="144"/>
      <c r="N21" s="146"/>
      <c r="O21" s="146"/>
    </row>
    <row r="22" spans="3:15" s="83" customFormat="1" ht="22.5" customHeight="1">
      <c r="C22" s="149"/>
      <c r="D22" s="145" t="s">
        <v>314</v>
      </c>
      <c r="E22" s="143"/>
      <c r="G22" s="143"/>
      <c r="H22" s="144"/>
      <c r="I22" s="144"/>
      <c r="J22" s="144"/>
      <c r="K22" s="150">
        <v>3</v>
      </c>
      <c r="N22" s="146"/>
      <c r="O22" s="146"/>
    </row>
    <row r="23" spans="3:15" s="83" customFormat="1" ht="22.5" customHeight="1">
      <c r="C23" s="149"/>
      <c r="D23" s="145" t="s">
        <v>315</v>
      </c>
      <c r="E23" s="143"/>
      <c r="G23" s="143"/>
      <c r="H23" s="144"/>
      <c r="I23" s="144"/>
      <c r="J23" s="144"/>
      <c r="K23" s="150">
        <v>2</v>
      </c>
      <c r="N23" s="146"/>
      <c r="O23" s="146"/>
    </row>
    <row r="24" spans="3:15" s="83" customFormat="1" ht="22.5" customHeight="1">
      <c r="C24" s="149"/>
      <c r="D24" s="145" t="s">
        <v>316</v>
      </c>
      <c r="E24" s="143"/>
      <c r="G24" s="143"/>
      <c r="H24" s="144"/>
      <c r="I24" s="144"/>
      <c r="J24" s="144"/>
      <c r="K24" s="150">
        <v>0.6</v>
      </c>
      <c r="N24" s="146"/>
      <c r="O24" s="146"/>
    </row>
    <row r="25" spans="3:15" s="83" customFormat="1" ht="15" customHeight="1">
      <c r="C25" s="147"/>
      <c r="D25" s="142"/>
      <c r="E25" s="143"/>
      <c r="F25" s="143"/>
      <c r="G25" s="143"/>
      <c r="H25" s="144"/>
      <c r="I25" s="144"/>
      <c r="J25" s="144"/>
      <c r="N25" s="146"/>
      <c r="O25" s="146"/>
    </row>
    <row r="26" spans="3:15" s="83" customFormat="1" ht="22.5" customHeight="1">
      <c r="C26" s="142" t="s">
        <v>317</v>
      </c>
      <c r="D26" s="142"/>
      <c r="E26" s="143"/>
      <c r="F26" s="143"/>
      <c r="G26" s="143"/>
      <c r="H26" s="144"/>
      <c r="I26" s="144"/>
      <c r="J26" s="144"/>
      <c r="N26" s="146"/>
      <c r="O26" s="146"/>
    </row>
    <row r="27" spans="3:15" s="83" customFormat="1" ht="36.75" customHeight="1">
      <c r="C27" s="151" t="s">
        <v>318</v>
      </c>
      <c r="D27" s="152" t="s">
        <v>319</v>
      </c>
      <c r="E27" s="143"/>
      <c r="F27" s="143"/>
      <c r="G27" s="143"/>
      <c r="H27" s="144"/>
      <c r="I27" s="144"/>
      <c r="J27" s="144"/>
      <c r="N27" s="146"/>
      <c r="O27" s="146"/>
    </row>
    <row r="28" spans="3:15" s="83" customFormat="1" ht="22.5" customHeight="1">
      <c r="C28" s="153"/>
      <c r="D28" s="149"/>
      <c r="E28" s="143"/>
      <c r="F28" s="143"/>
      <c r="G28" s="143"/>
      <c r="H28" s="144"/>
      <c r="I28" s="144"/>
      <c r="J28" s="144"/>
      <c r="N28" s="146"/>
      <c r="O28" s="146"/>
    </row>
    <row r="29" spans="3:15" s="83" customFormat="1" ht="22.5" customHeight="1">
      <c r="C29" s="153"/>
      <c r="D29" s="149"/>
      <c r="E29" s="143"/>
      <c r="F29" s="143"/>
      <c r="G29" s="143"/>
      <c r="H29" s="144"/>
      <c r="I29" s="144"/>
      <c r="J29" s="144"/>
      <c r="N29" s="146"/>
      <c r="O29" s="146"/>
    </row>
    <row r="30" spans="3:15" s="83" customFormat="1" ht="22.5" customHeight="1">
      <c r="C30" s="153"/>
      <c r="D30" s="149"/>
      <c r="E30" s="143"/>
      <c r="F30" s="143"/>
      <c r="G30" s="143"/>
      <c r="H30" s="144"/>
      <c r="I30" s="144"/>
      <c r="J30" s="144"/>
      <c r="N30" s="146"/>
      <c r="O30" s="146"/>
    </row>
    <row r="31" spans="3:15" s="83" customFormat="1" ht="22.5" customHeight="1">
      <c r="C31" s="153"/>
      <c r="D31" s="149"/>
      <c r="E31" s="143"/>
      <c r="F31" s="143"/>
      <c r="G31" s="143"/>
      <c r="H31" s="144"/>
      <c r="I31" s="144"/>
      <c r="J31" s="144"/>
      <c r="N31" s="146"/>
      <c r="O31" s="146"/>
    </row>
    <row r="32" spans="3:15" s="83" customFormat="1" ht="22.5" customHeight="1">
      <c r="C32" s="153"/>
      <c r="D32" s="149"/>
      <c r="E32" s="143"/>
      <c r="F32" s="143"/>
      <c r="G32" s="143"/>
      <c r="H32" s="144"/>
      <c r="I32" s="144"/>
      <c r="J32" s="144"/>
      <c r="N32" s="146"/>
      <c r="O32" s="146"/>
    </row>
    <row r="33" spans="3:15" s="83" customFormat="1" ht="22.5" customHeight="1">
      <c r="C33" s="154" t="s">
        <v>320</v>
      </c>
      <c r="D33" s="155">
        <f>(C28*D28)+(C29*D29)+(C30*D30)+(C31*D31)+(C32*D32)</f>
        <v>0</v>
      </c>
      <c r="E33" s="143"/>
      <c r="F33" s="143"/>
      <c r="G33" s="143"/>
      <c r="H33" s="144"/>
      <c r="I33" s="144"/>
      <c r="J33" s="144"/>
      <c r="N33" s="146"/>
      <c r="O33" s="146"/>
    </row>
    <row r="34" spans="3:15" s="83" customFormat="1" ht="22.5" customHeight="1">
      <c r="C34" s="154"/>
      <c r="D34" s="142"/>
      <c r="E34" s="143"/>
      <c r="F34" s="143"/>
      <c r="G34" s="143"/>
      <c r="H34" s="144"/>
      <c r="I34" s="144"/>
      <c r="J34" s="144"/>
      <c r="N34" s="146"/>
      <c r="O34" s="146"/>
    </row>
    <row r="35" spans="4:15" s="83" customFormat="1" ht="22.5" customHeight="1">
      <c r="D35" s="142"/>
      <c r="E35" s="243">
        <f>IF(D33=0,"",(C22*C23)+((+POWER(+LN(D33),5))*C24))</f>
      </c>
      <c r="F35" s="243"/>
      <c r="G35" s="156" t="s">
        <v>321</v>
      </c>
      <c r="H35" s="144"/>
      <c r="I35" s="144"/>
      <c r="J35" s="144"/>
      <c r="N35" s="146"/>
      <c r="O35" s="146"/>
    </row>
    <row r="36" spans="3:15" s="83" customFormat="1" ht="15.75" customHeight="1">
      <c r="C36" s="154"/>
      <c r="D36" s="142"/>
      <c r="E36" s="143"/>
      <c r="F36" s="143"/>
      <c r="G36" s="143"/>
      <c r="H36" s="144"/>
      <c r="I36" s="144"/>
      <c r="J36" s="144"/>
      <c r="N36" s="146"/>
      <c r="O36" s="146"/>
    </row>
    <row r="37" spans="3:10" s="83" customFormat="1" ht="8.25" customHeight="1">
      <c r="C37" s="157"/>
      <c r="D37" s="158"/>
      <c r="E37" s="158"/>
      <c r="F37" s="158"/>
      <c r="G37" s="158"/>
      <c r="H37" s="159"/>
      <c r="I37" s="159"/>
      <c r="J37" s="159"/>
    </row>
    <row r="38" spans="2:10" s="83" customFormat="1" ht="24.75" customHeight="1">
      <c r="B38" s="244" t="s">
        <v>322</v>
      </c>
      <c r="C38" s="244"/>
      <c r="D38" s="244"/>
      <c r="E38" s="244"/>
      <c r="F38" s="244"/>
      <c r="G38" s="160"/>
      <c r="H38" s="138"/>
      <c r="I38" s="138"/>
      <c r="J38" s="138"/>
    </row>
    <row r="39" spans="2:10" s="83" customFormat="1" ht="18" customHeight="1">
      <c r="B39" s="161"/>
      <c r="C39" s="161"/>
      <c r="D39" s="161"/>
      <c r="E39" s="161"/>
      <c r="F39" s="161"/>
      <c r="G39" s="160"/>
      <c r="H39" s="138"/>
      <c r="I39" s="138"/>
      <c r="J39" s="138"/>
    </row>
    <row r="40" spans="2:10" s="83" customFormat="1" ht="18" customHeight="1">
      <c r="B40" s="87"/>
      <c r="C40" s="162" t="s">
        <v>323</v>
      </c>
      <c r="D40" s="163">
        <f>x!C8</f>
        <v>25</v>
      </c>
      <c r="E40" s="162" t="s">
        <v>185</v>
      </c>
      <c r="F40" s="164">
        <f>x!C6</f>
        <v>125000</v>
      </c>
      <c r="G40" s="160"/>
      <c r="H40" s="165" t="s">
        <v>324</v>
      </c>
      <c r="I40" s="138"/>
      <c r="J40" s="138"/>
    </row>
    <row r="41" spans="2:10" s="83" customFormat="1" ht="21" customHeight="1">
      <c r="B41" s="82"/>
      <c r="C41" s="82"/>
      <c r="D41" s="82"/>
      <c r="E41" s="82"/>
      <c r="F41" s="161"/>
      <c r="G41" s="160"/>
      <c r="H41" s="166"/>
      <c r="I41" s="138"/>
      <c r="J41" s="138"/>
    </row>
    <row r="42" spans="2:10" s="83" customFormat="1" ht="19.5" customHeight="1">
      <c r="B42" s="245" t="s">
        <v>191</v>
      </c>
      <c r="C42" s="245"/>
      <c r="D42" s="245"/>
      <c r="E42" s="245"/>
      <c r="F42" s="161"/>
      <c r="G42" s="160"/>
      <c r="H42" s="246"/>
      <c r="I42" s="138"/>
      <c r="J42" s="138"/>
    </row>
    <row r="43" spans="2:10" s="83" customFormat="1" ht="15.75" customHeight="1">
      <c r="B43" s="167" t="s">
        <v>8</v>
      </c>
      <c r="C43" s="168" t="s">
        <v>9</v>
      </c>
      <c r="D43" s="169" t="s">
        <v>10</v>
      </c>
      <c r="E43" s="170" t="s">
        <v>9</v>
      </c>
      <c r="F43" s="161"/>
      <c r="G43" s="160"/>
      <c r="H43" s="246"/>
      <c r="I43" s="138"/>
      <c r="J43" s="138"/>
    </row>
    <row r="44" spans="2:10" s="83" customFormat="1" ht="15.75" customHeight="1">
      <c r="B44" s="171">
        <f>1000000*D40</f>
        <v>25000000</v>
      </c>
      <c r="C44" s="172">
        <f>+B44</f>
        <v>25000000</v>
      </c>
      <c r="D44" s="173">
        <v>0.05</v>
      </c>
      <c r="E44" s="172">
        <f>+D44*B44</f>
        <v>1250000</v>
      </c>
      <c r="F44" s="161"/>
      <c r="G44" s="160"/>
      <c r="H44" s="246"/>
      <c r="I44" s="138"/>
      <c r="J44" s="138"/>
    </row>
    <row r="45" spans="2:10" s="83" customFormat="1" ht="15.75" customHeight="1">
      <c r="B45" s="171">
        <f>4000000*D40</f>
        <v>100000000</v>
      </c>
      <c r="C45" s="172">
        <f aca="true" t="shared" si="0" ref="C45:C50">+C44+B45</f>
        <v>125000000</v>
      </c>
      <c r="D45" s="173">
        <v>0.04</v>
      </c>
      <c r="E45" s="172">
        <f aca="true" t="shared" si="1" ref="E45:E50">+(C45-C44)*D45+E44</f>
        <v>5250000</v>
      </c>
      <c r="F45" s="161"/>
      <c r="G45" s="160"/>
      <c r="H45" s="246"/>
      <c r="I45" s="138"/>
      <c r="J45" s="138"/>
    </row>
    <row r="46" spans="2:10" s="83" customFormat="1" ht="15.75" customHeight="1">
      <c r="B46" s="171">
        <f>5000000*D40</f>
        <v>125000000</v>
      </c>
      <c r="C46" s="172">
        <f t="shared" si="0"/>
        <v>250000000</v>
      </c>
      <c r="D46" s="173">
        <v>0.03</v>
      </c>
      <c r="E46" s="172">
        <f t="shared" si="1"/>
        <v>9000000</v>
      </c>
      <c r="F46" s="161"/>
      <c r="G46" s="160"/>
      <c r="H46" s="246"/>
      <c r="I46" s="138"/>
      <c r="J46" s="138"/>
    </row>
    <row r="47" spans="2:10" s="83" customFormat="1" ht="15.75" customHeight="1">
      <c r="B47" s="171">
        <f>10000000*D40</f>
        <v>250000000</v>
      </c>
      <c r="C47" s="172">
        <f t="shared" si="0"/>
        <v>500000000</v>
      </c>
      <c r="D47" s="173">
        <v>0.025</v>
      </c>
      <c r="E47" s="172">
        <f t="shared" si="1"/>
        <v>15250000</v>
      </c>
      <c r="F47" s="161"/>
      <c r="G47" s="160"/>
      <c r="H47" s="246"/>
      <c r="I47" s="138"/>
      <c r="J47" s="138"/>
    </row>
    <row r="48" spans="2:10" s="83" customFormat="1" ht="15.75" customHeight="1">
      <c r="B48" s="171">
        <f>20000000*D40</f>
        <v>500000000</v>
      </c>
      <c r="C48" s="172">
        <f t="shared" si="0"/>
        <v>1000000000</v>
      </c>
      <c r="D48" s="173">
        <v>0.02</v>
      </c>
      <c r="E48" s="172">
        <f t="shared" si="1"/>
        <v>25250000</v>
      </c>
      <c r="F48" s="161"/>
      <c r="G48" s="160"/>
      <c r="H48" s="246"/>
      <c r="I48" s="138"/>
      <c r="J48" s="138"/>
    </row>
    <row r="49" spans="2:10" s="83" customFormat="1" ht="15.75" customHeight="1">
      <c r="B49" s="171">
        <f>40000000*D40</f>
        <v>1000000000</v>
      </c>
      <c r="C49" s="172">
        <f t="shared" si="0"/>
        <v>2000000000</v>
      </c>
      <c r="D49" s="173">
        <v>0.015</v>
      </c>
      <c r="E49" s="172">
        <f t="shared" si="1"/>
        <v>40250000</v>
      </c>
      <c r="F49" s="161"/>
      <c r="G49" s="160"/>
      <c r="H49" s="246"/>
      <c r="I49" s="138"/>
      <c r="J49" s="138"/>
    </row>
    <row r="50" spans="2:10" s="83" customFormat="1" ht="15.75" customHeight="1">
      <c r="B50" s="171">
        <f>80000000*D40</f>
        <v>2000000000</v>
      </c>
      <c r="C50" s="172">
        <f t="shared" si="0"/>
        <v>4000000000</v>
      </c>
      <c r="D50" s="173">
        <v>0.01</v>
      </c>
      <c r="E50" s="172">
        <f t="shared" si="1"/>
        <v>60250000</v>
      </c>
      <c r="F50" s="161"/>
      <c r="G50" s="160"/>
      <c r="H50" s="246"/>
      <c r="I50" s="138"/>
      <c r="J50" s="138"/>
    </row>
    <row r="51" spans="2:10" s="83" customFormat="1" ht="15.75" customHeight="1">
      <c r="B51" s="174"/>
      <c r="C51" s="175" t="s">
        <v>11</v>
      </c>
      <c r="D51" s="176">
        <f>+D50-0.005</f>
        <v>0.005</v>
      </c>
      <c r="E51" s="177"/>
      <c r="F51" s="161"/>
      <c r="G51" s="160"/>
      <c r="H51" s="138"/>
      <c r="I51" s="138"/>
      <c r="J51" s="138"/>
    </row>
    <row r="52" spans="2:10" s="83" customFormat="1" ht="14.25" customHeight="1">
      <c r="B52" s="161"/>
      <c r="C52" s="161"/>
      <c r="D52" s="161"/>
      <c r="E52" s="161"/>
      <c r="F52" s="161"/>
      <c r="G52" s="160"/>
      <c r="H52" s="138"/>
      <c r="I52" s="138"/>
      <c r="J52" s="138"/>
    </row>
    <row r="53" spans="2:10" s="83" customFormat="1" ht="1.5" customHeight="1">
      <c r="B53" s="178" t="s">
        <v>228</v>
      </c>
      <c r="C53" s="179">
        <f>IF(E35&gt;=C50,C50,IF(E35&gt;=C49,C49,IF(E35&gt;=C48,C48,IF(E35&gt;=C47,C47,IF(E35&gt;=C46,C46,IF(E35&gt;=C45,C45,IF(E35&gt;=C44,C44,IF(E35&lt;C44,E35))))))))</f>
        <v>4000000000</v>
      </c>
      <c r="D53" s="180">
        <f>IF(E35&lt;=0,0,IF(E35&lt;C44,D44,""))</f>
      </c>
      <c r="E53" s="179">
        <f>IF(C53=C50,E50,IF(C53=C49,E49,IF(C53=C48,E48,IF(C53=C47,E47,IF(C53=C46,E46,IF(C53=C45,E45,IF(C53=C44,E44,IF(C53=E35,C53*D53))))))))</f>
        <v>60250000</v>
      </c>
      <c r="F53" s="161"/>
      <c r="G53" s="160"/>
      <c r="H53" s="138"/>
      <c r="I53" s="138"/>
      <c r="J53" s="138"/>
    </row>
    <row r="54" spans="2:10" s="83" customFormat="1" ht="18" customHeight="1" hidden="1">
      <c r="B54" s="178" t="s">
        <v>325</v>
      </c>
      <c r="C54" s="181">
        <f>IF(E35="","",+E35-C53)</f>
      </c>
      <c r="D54" s="180">
        <f>IF(C53=C50,D51,IF(C53=C49,D50,IF(C53=C48,D49,IF(C53=C47,D48,IF(C53=C46,D47,IF(C53=C45,D46,IF(C53=C44,D45,0)))))))</f>
        <v>0.005</v>
      </c>
      <c r="E54" s="179">
        <f>IF(E35="","",+C54*D54)</f>
      </c>
      <c r="F54" s="161"/>
      <c r="G54" s="160"/>
      <c r="H54" s="138"/>
      <c r="I54" s="138"/>
      <c r="J54" s="138"/>
    </row>
    <row r="55" spans="2:15" s="83" customFormat="1" ht="12" customHeight="1">
      <c r="B55" s="178"/>
      <c r="C55" s="181"/>
      <c r="D55" s="180"/>
      <c r="E55" s="179"/>
      <c r="F55" s="182"/>
      <c r="G55" s="183"/>
      <c r="H55" s="137"/>
      <c r="I55" s="138"/>
      <c r="J55" s="138"/>
      <c r="K55" s="138"/>
      <c r="L55" s="138"/>
      <c r="M55" s="138"/>
      <c r="N55" s="138"/>
      <c r="O55" s="138"/>
    </row>
    <row r="56" spans="2:15" s="83" customFormat="1" ht="19.5" customHeight="1">
      <c r="B56" s="178"/>
      <c r="C56" s="181"/>
      <c r="D56" s="180"/>
      <c r="E56" s="184" t="s">
        <v>326</v>
      </c>
      <c r="F56" s="185">
        <f>IF(E35="","",+E54+E53)</f>
      </c>
      <c r="G56" s="183"/>
      <c r="H56" s="137"/>
      <c r="I56" s="138"/>
      <c r="J56" s="138"/>
      <c r="K56" s="138"/>
      <c r="L56" s="138"/>
      <c r="M56" s="138"/>
      <c r="N56" s="138"/>
      <c r="O56" s="138"/>
    </row>
    <row r="57" spans="2:15" s="83" customFormat="1" ht="19.5" customHeight="1">
      <c r="B57" s="178"/>
      <c r="C57" s="181"/>
      <c r="D57" s="180"/>
      <c r="E57" s="184"/>
      <c r="F57" s="186"/>
      <c r="G57" s="183"/>
      <c r="H57" s="137"/>
      <c r="I57" s="138"/>
      <c r="J57" s="138"/>
      <c r="K57" s="138"/>
      <c r="L57" s="138"/>
      <c r="M57" s="138"/>
      <c r="N57" s="138"/>
      <c r="O57" s="138"/>
    </row>
    <row r="58" spans="2:15" s="83" customFormat="1" ht="19.5" customHeight="1">
      <c r="B58" s="178"/>
      <c r="C58" s="181"/>
      <c r="D58" s="180"/>
      <c r="E58" s="184" t="s">
        <v>327</v>
      </c>
      <c r="F58" s="185">
        <f>IF(E35="","",F56/12)</f>
      </c>
      <c r="G58" s="187" t="s">
        <v>328</v>
      </c>
      <c r="H58" s="137"/>
      <c r="I58" s="138"/>
      <c r="J58" s="138"/>
      <c r="K58" s="138"/>
      <c r="L58" s="138"/>
      <c r="M58" s="138"/>
      <c r="N58" s="138"/>
      <c r="O58" s="138"/>
    </row>
    <row r="59" spans="2:15" s="83" customFormat="1" ht="19.5" customHeight="1">
      <c r="B59" s="87"/>
      <c r="C59" s="87"/>
      <c r="D59" s="19"/>
      <c r="E59" s="87"/>
      <c r="F59" s="182"/>
      <c r="G59" s="183"/>
      <c r="H59" s="137"/>
      <c r="I59" s="138"/>
      <c r="J59" s="138"/>
      <c r="K59" s="138"/>
      <c r="L59" s="138"/>
      <c r="M59" s="138"/>
      <c r="N59" s="138"/>
      <c r="O59" s="138"/>
    </row>
    <row r="60" spans="3:15" s="83" customFormat="1" ht="19.5" customHeight="1">
      <c r="C60" s="182"/>
      <c r="D60" s="182"/>
      <c r="E60" s="184" t="s">
        <v>329</v>
      </c>
      <c r="F60" s="185">
        <f>F40*12</f>
        <v>1500000</v>
      </c>
      <c r="G60" s="183"/>
      <c r="H60" s="137"/>
      <c r="I60" s="138"/>
      <c r="J60" s="138"/>
      <c r="K60" s="138"/>
      <c r="L60" s="138"/>
      <c r="M60" s="138"/>
      <c r="N60" s="138"/>
      <c r="O60" s="138"/>
    </row>
    <row r="61" spans="3:15" s="83" customFormat="1" ht="19.5" customHeight="1">
      <c r="C61" s="188"/>
      <c r="D61" s="188"/>
      <c r="E61" s="188"/>
      <c r="F61" s="189"/>
      <c r="G61" s="183"/>
      <c r="H61" s="137"/>
      <c r="I61" s="138"/>
      <c r="J61" s="138"/>
      <c r="K61" s="138"/>
      <c r="L61" s="138"/>
      <c r="M61" s="138"/>
      <c r="N61" s="138"/>
      <c r="O61" s="138"/>
    </row>
    <row r="62" spans="2:9" ht="24.75" customHeight="1">
      <c r="B62" s="237" t="s">
        <v>330</v>
      </c>
      <c r="C62" s="237"/>
      <c r="D62" s="237"/>
      <c r="E62" s="237"/>
      <c r="F62" s="368">
        <f>IF(F56&lt;(x!C6*12),(x!C6*12),'Residuos Especiales'!F56)</f>
      </c>
      <c r="G62" s="187" t="s">
        <v>331</v>
      </c>
      <c r="H62" s="178"/>
      <c r="I62" s="99"/>
    </row>
    <row r="63" spans="7:10" ht="24.75" customHeight="1">
      <c r="G63" s="190"/>
      <c r="H63" s="191"/>
      <c r="I63" s="102"/>
      <c r="J63" s="17"/>
    </row>
    <row r="64" spans="2:10" ht="27" customHeight="1">
      <c r="B64" s="237" t="s">
        <v>332</v>
      </c>
      <c r="C64" s="237"/>
      <c r="D64" s="237"/>
      <c r="E64" s="237"/>
      <c r="F64" s="369"/>
      <c r="G64" s="190"/>
      <c r="H64" s="192"/>
      <c r="I64" s="102"/>
      <c r="J64" s="17"/>
    </row>
    <row r="65" spans="3:10" ht="19.5" customHeight="1">
      <c r="C65" s="238" t="s">
        <v>333</v>
      </c>
      <c r="D65" s="238"/>
      <c r="E65" s="238"/>
      <c r="H65" s="192"/>
      <c r="I65" s="102"/>
      <c r="J65" s="17"/>
    </row>
    <row r="66" spans="3:10" ht="19.5" customHeight="1">
      <c r="C66" s="238"/>
      <c r="D66" s="238"/>
      <c r="E66" s="238"/>
      <c r="H66" s="192"/>
      <c r="I66" s="102"/>
      <c r="J66" s="17"/>
    </row>
    <row r="67" spans="3:10" ht="1.5" customHeight="1">
      <c r="C67" s="193"/>
      <c r="D67" s="17"/>
      <c r="E67" s="194"/>
      <c r="F67" s="195"/>
      <c r="G67" s="194"/>
      <c r="H67" s="192"/>
      <c r="I67" s="102"/>
      <c r="J67" s="196" t="s">
        <v>334</v>
      </c>
    </row>
    <row r="68" spans="3:9" ht="39.75" customHeight="1">
      <c r="C68" s="239">
        <f>IF(F64&lt;F62,J67,"")</f>
      </c>
      <c r="D68" s="239"/>
      <c r="E68" s="239"/>
      <c r="F68" s="194"/>
      <c r="G68" s="240"/>
      <c r="H68" s="240"/>
      <c r="I68" s="99"/>
    </row>
    <row r="69" spans="3:9" ht="39.75" customHeight="1">
      <c r="C69" s="239"/>
      <c r="D69" s="239"/>
      <c r="E69" s="239"/>
      <c r="F69" s="239"/>
      <c r="G69" s="240"/>
      <c r="H69" s="240"/>
      <c r="I69" s="102"/>
    </row>
    <row r="70" spans="3:9" ht="39.75" customHeight="1">
      <c r="C70" s="197"/>
      <c r="D70" s="198"/>
      <c r="E70" s="199"/>
      <c r="F70" s="105"/>
      <c r="G70" s="240"/>
      <c r="H70" s="240"/>
      <c r="I70" s="102"/>
    </row>
    <row r="71" spans="3:9" ht="30" customHeight="1">
      <c r="C71" s="197"/>
      <c r="D71" s="198"/>
      <c r="E71" s="180"/>
      <c r="F71" s="200"/>
      <c r="G71" s="235" t="s">
        <v>335</v>
      </c>
      <c r="H71" s="235"/>
      <c r="I71" s="102"/>
    </row>
    <row r="72" spans="3:9" ht="29.25" customHeight="1">
      <c r="C72" s="201"/>
      <c r="D72" s="202"/>
      <c r="E72" s="203"/>
      <c r="F72" s="204"/>
      <c r="I72" s="102"/>
    </row>
    <row r="73" spans="2:9" ht="15" customHeight="1">
      <c r="B73" s="205"/>
      <c r="C73" s="206"/>
      <c r="D73" s="206"/>
      <c r="E73" s="207"/>
      <c r="F73" s="208"/>
      <c r="G73" s="208"/>
      <c r="H73" s="86"/>
      <c r="I73" s="102"/>
    </row>
    <row r="74" spans="1:7" ht="16.5" customHeight="1">
      <c r="A74" s="106"/>
      <c r="B74" s="106" t="s">
        <v>336</v>
      </c>
      <c r="C74" s="106"/>
      <c r="D74" s="106"/>
      <c r="E74" s="106"/>
      <c r="F74" s="106"/>
      <c r="G74" s="106"/>
    </row>
    <row r="75" spans="1:9" ht="16.5" customHeight="1">
      <c r="A75" s="106"/>
      <c r="B75" s="113" t="s">
        <v>337</v>
      </c>
      <c r="C75" s="209"/>
      <c r="D75" s="209"/>
      <c r="E75" s="209"/>
      <c r="F75" s="209"/>
      <c r="G75" s="209"/>
      <c r="I75" s="210"/>
    </row>
    <row r="76" spans="1:9" ht="16.5" customHeight="1">
      <c r="A76" s="106"/>
      <c r="B76" s="209" t="s">
        <v>338</v>
      </c>
      <c r="D76" s="209"/>
      <c r="E76" s="209"/>
      <c r="F76" s="209"/>
      <c r="G76" s="209"/>
      <c r="I76" s="210"/>
    </row>
    <row r="77" spans="1:9" ht="16.5" customHeight="1">
      <c r="A77" s="106"/>
      <c r="B77" s="113" t="s">
        <v>339</v>
      </c>
      <c r="C77" s="209"/>
      <c r="D77" s="209"/>
      <c r="E77" s="209"/>
      <c r="F77" s="209"/>
      <c r="G77" s="209"/>
      <c r="I77" s="210"/>
    </row>
    <row r="78" spans="1:9" ht="16.5" customHeight="1">
      <c r="A78" s="106"/>
      <c r="B78" s="209" t="s">
        <v>340</v>
      </c>
      <c r="D78" s="209"/>
      <c r="E78" s="209"/>
      <c r="F78" s="209"/>
      <c r="G78" s="209"/>
      <c r="I78" s="210"/>
    </row>
    <row r="79" spans="1:9" ht="16.5" customHeight="1">
      <c r="A79" s="106"/>
      <c r="B79" s="113" t="s">
        <v>341</v>
      </c>
      <c r="C79" s="209"/>
      <c r="D79" s="209"/>
      <c r="E79" s="209"/>
      <c r="F79" s="209"/>
      <c r="G79" s="209"/>
      <c r="I79" s="210"/>
    </row>
    <row r="80" spans="1:9" ht="16.5" customHeight="1">
      <c r="A80" s="106"/>
      <c r="B80" s="113" t="s">
        <v>342</v>
      </c>
      <c r="C80" s="209"/>
      <c r="D80" s="209"/>
      <c r="E80" s="209"/>
      <c r="F80" s="209"/>
      <c r="G80" s="209"/>
      <c r="I80" s="210"/>
    </row>
    <row r="83" spans="3:11" ht="12.75">
      <c r="C83" s="17"/>
      <c r="D83" s="17"/>
      <c r="E83" s="17"/>
      <c r="F83" s="17"/>
      <c r="G83" s="17"/>
      <c r="H83" s="17"/>
      <c r="I83" s="17"/>
      <c r="J83" s="17"/>
      <c r="K83" s="17"/>
    </row>
    <row r="84" spans="3:11" ht="12.75">
      <c r="C84" s="17"/>
      <c r="D84" s="17"/>
      <c r="E84" s="17"/>
      <c r="F84" s="17"/>
      <c r="G84" s="236"/>
      <c r="H84" s="236"/>
      <c r="I84" s="17"/>
      <c r="J84" s="17"/>
      <c r="K84" s="17"/>
    </row>
    <row r="85" spans="3:11" ht="12.75">
      <c r="C85" s="17"/>
      <c r="D85" s="17"/>
      <c r="E85" s="17"/>
      <c r="F85" s="17"/>
      <c r="G85" s="18"/>
      <c r="H85" s="18"/>
      <c r="I85" s="17"/>
      <c r="J85" s="17"/>
      <c r="K85" s="17"/>
    </row>
    <row r="86" spans="3:11" ht="12.75">
      <c r="C86" s="17"/>
      <c r="D86" s="17"/>
      <c r="E86" s="17"/>
      <c r="F86" s="17"/>
      <c r="G86" s="18"/>
      <c r="H86" s="18"/>
      <c r="I86" s="17"/>
      <c r="J86" s="17"/>
      <c r="K86" s="17"/>
    </row>
    <row r="87" spans="3:11" ht="12.75">
      <c r="C87" s="17"/>
      <c r="D87" s="17"/>
      <c r="E87" s="17"/>
      <c r="F87" s="17"/>
      <c r="G87" s="18"/>
      <c r="H87" s="18"/>
      <c r="I87" s="17"/>
      <c r="J87" s="17"/>
      <c r="K87" s="17"/>
    </row>
    <row r="88" spans="3:11" ht="12.75">
      <c r="C88" s="17"/>
      <c r="D88" s="17"/>
      <c r="E88" s="17"/>
      <c r="F88" s="17"/>
      <c r="G88" s="18"/>
      <c r="H88" s="18"/>
      <c r="I88" s="17"/>
      <c r="J88" s="17"/>
      <c r="K88" s="17"/>
    </row>
    <row r="89" spans="3:11" ht="12.75">
      <c r="C89" s="17"/>
      <c r="D89" s="17"/>
      <c r="E89" s="17"/>
      <c r="F89" s="17"/>
      <c r="G89" s="17"/>
      <c r="H89" s="17"/>
      <c r="I89" s="17"/>
      <c r="J89" s="17"/>
      <c r="K89" s="17"/>
    </row>
    <row r="90" spans="3:11" ht="12.75">
      <c r="C90" s="17"/>
      <c r="D90" s="17"/>
      <c r="E90" s="17"/>
      <c r="F90" s="17"/>
      <c r="G90" s="17"/>
      <c r="H90" s="17"/>
      <c r="I90" s="17"/>
      <c r="J90" s="17"/>
      <c r="K90" s="17"/>
    </row>
    <row r="91" spans="3:11" ht="12.75">
      <c r="C91" s="115"/>
      <c r="D91" s="115"/>
      <c r="E91" s="115"/>
      <c r="F91" s="17"/>
      <c r="G91" s="17"/>
      <c r="H91" s="17"/>
      <c r="I91" s="17"/>
      <c r="J91" s="17"/>
      <c r="K91" s="17"/>
    </row>
    <row r="92" spans="3:11" ht="12.75">
      <c r="C92" s="211"/>
      <c r="D92" s="115"/>
      <c r="E92" s="115"/>
      <c r="F92" s="17"/>
      <c r="G92" s="17"/>
      <c r="H92" s="17"/>
      <c r="I92" s="17"/>
      <c r="J92" s="17"/>
      <c r="K92" s="17"/>
    </row>
    <row r="93" spans="3:4" ht="12.75">
      <c r="C93" s="108"/>
      <c r="D93" s="108"/>
    </row>
    <row r="94" spans="3:5" ht="12.75">
      <c r="C94" s="117"/>
      <c r="D94" s="108"/>
      <c r="E94" s="108"/>
    </row>
    <row r="95" spans="3:4" ht="12.75">
      <c r="C95" s="108"/>
      <c r="D95" s="108"/>
    </row>
    <row r="96" spans="3:4" ht="12.75">
      <c r="C96" s="117"/>
      <c r="D96" s="108"/>
    </row>
    <row r="97" spans="3:4" ht="12.75">
      <c r="C97" s="117"/>
      <c r="D97" s="108"/>
    </row>
  </sheetData>
  <sheetProtection password="CA22" sheet="1" selectLockedCells="1"/>
  <mergeCells count="20">
    <mergeCell ref="G2:H2"/>
    <mergeCell ref="D4:E4"/>
    <mergeCell ref="G4:H4"/>
    <mergeCell ref="G6:H6"/>
    <mergeCell ref="B8:H8"/>
    <mergeCell ref="B10:H10"/>
    <mergeCell ref="B12:H12"/>
    <mergeCell ref="C19:E19"/>
    <mergeCell ref="E35:F35"/>
    <mergeCell ref="B38:F38"/>
    <mergeCell ref="B42:E42"/>
    <mergeCell ref="H42:H50"/>
    <mergeCell ref="G71:H71"/>
    <mergeCell ref="G84:H84"/>
    <mergeCell ref="B62:E62"/>
    <mergeCell ref="B64:E64"/>
    <mergeCell ref="C65:E66"/>
    <mergeCell ref="C68:E68"/>
    <mergeCell ref="G68:H70"/>
    <mergeCell ref="C69:F69"/>
  </mergeCells>
  <conditionalFormatting sqref="F71">
    <cfRule type="cellIs" priority="1" dxfId="1" operator="equal" stopIfTrue="1">
      <formula>"calcularlo a mano"</formula>
    </cfRule>
  </conditionalFormatting>
  <dataValidations count="1">
    <dataValidation type="list" allowBlank="1" showErrorMessage="1" sqref="D28:D32">
      <formula1>$K$22:$K$24</formula1>
      <formula2>0</formula2>
    </dataValidation>
  </dataValidations>
  <printOptions/>
  <pageMargins left="1.1023622047244095" right="0.15748031496062992" top="0.9055118110236221" bottom="0.15748031496062992" header="0.15748031496062992" footer="0.03937007874015748"/>
  <pageSetup horizontalDpi="300" verticalDpi="300" orientation="portrait" paperSize="9" scale="48" r:id="rId1"/>
  <headerFooter alignWithMargins="0">
    <oddHeader>&amp;C&amp;"Arial,Negrita"&amp;18PLANILLA ANEXA</oddHeader>
    <oddFooter>&amp;C&amp;"Arial,Negrita"Vigente desde el 01/04/2024</oddFooter>
  </headerFooter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B3:P39"/>
  <sheetViews>
    <sheetView zoomScalePageLayoutView="0" workbookViewId="0" topLeftCell="A13">
      <selection activeCell="N14" sqref="N14"/>
    </sheetView>
  </sheetViews>
  <sheetFormatPr defaultColWidth="9.140625" defaultRowHeight="12.75"/>
  <cols>
    <col min="1" max="16384" width="9.140625" style="212" customWidth="1"/>
  </cols>
  <sheetData>
    <row r="3" spans="2:16" ht="12.75">
      <c r="B3" s="251" t="s">
        <v>343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2:16" ht="12.7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12.75">
      <c r="B5" s="252" t="s">
        <v>344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2:16" ht="12.75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9" spans="4:14" ht="12.75">
      <c r="D9" s="253" t="s">
        <v>345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4:14" ht="12.75"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</row>
    <row r="16" spans="10:13" ht="15.75">
      <c r="J16" s="254" t="s">
        <v>312</v>
      </c>
      <c r="K16" s="254"/>
      <c r="L16" s="254"/>
      <c r="M16" s="254"/>
    </row>
    <row r="17" spans="10:16" ht="14.25">
      <c r="J17" s="213" t="s">
        <v>346</v>
      </c>
      <c r="K17" s="214"/>
      <c r="L17" s="214"/>
      <c r="M17" s="214"/>
      <c r="N17" s="214"/>
      <c r="O17" s="214"/>
      <c r="P17" s="215"/>
    </row>
    <row r="18" spans="10:16" ht="14.25">
      <c r="J18" s="216" t="s">
        <v>347</v>
      </c>
      <c r="K18" s="217"/>
      <c r="L18" s="217"/>
      <c r="M18" s="217"/>
      <c r="N18" s="217"/>
      <c r="O18" s="217"/>
      <c r="P18" s="218"/>
    </row>
    <row r="20" ht="12.75">
      <c r="J20" s="212" t="s">
        <v>348</v>
      </c>
    </row>
    <row r="21" ht="12.75">
      <c r="J21" s="212" t="s">
        <v>349</v>
      </c>
    </row>
    <row r="22" ht="12.75">
      <c r="J22" s="212" t="s">
        <v>350</v>
      </c>
    </row>
    <row r="23" ht="12.75">
      <c r="J23" s="212" t="s">
        <v>351</v>
      </c>
    </row>
    <row r="25" ht="12.75">
      <c r="J25" s="219" t="s">
        <v>352</v>
      </c>
    </row>
    <row r="26" ht="12.75">
      <c r="J26" s="220" t="s">
        <v>353</v>
      </c>
    </row>
    <row r="27" ht="12.75">
      <c r="J27" s="220" t="s">
        <v>354</v>
      </c>
    </row>
    <row r="28" ht="12.75">
      <c r="J28" s="212" t="s">
        <v>355</v>
      </c>
    </row>
    <row r="30" ht="12.75">
      <c r="J30" s="219" t="s">
        <v>356</v>
      </c>
    </row>
    <row r="31" ht="12.75">
      <c r="J31" s="220" t="s">
        <v>357</v>
      </c>
    </row>
    <row r="32" ht="12.75">
      <c r="J32" s="212" t="s">
        <v>358</v>
      </c>
    </row>
    <row r="33" ht="12.75">
      <c r="J33" s="212" t="s">
        <v>359</v>
      </c>
    </row>
    <row r="34" ht="12.75">
      <c r="J34" s="220" t="s">
        <v>360</v>
      </c>
    </row>
    <row r="35" ht="12.75">
      <c r="J35" s="221" t="s">
        <v>361</v>
      </c>
    </row>
    <row r="36" spans="10:11" ht="12.75">
      <c r="J36" s="220" t="s">
        <v>362</v>
      </c>
      <c r="K36" s="212" t="s">
        <v>363</v>
      </c>
    </row>
    <row r="37" ht="12.75">
      <c r="J37" s="222" t="s">
        <v>364</v>
      </c>
    </row>
    <row r="38" ht="12.75">
      <c r="J38" s="212" t="s">
        <v>365</v>
      </c>
    </row>
    <row r="39" ht="12.75">
      <c r="J39" s="220" t="s">
        <v>366</v>
      </c>
    </row>
  </sheetData>
  <sheetProtection password="CA22" sheet="1" selectLockedCells="1" selectUnlockedCells="1"/>
  <mergeCells count="4">
    <mergeCell ref="B3:P4"/>
    <mergeCell ref="B5:P6"/>
    <mergeCell ref="D9:N10"/>
    <mergeCell ref="J16:M16"/>
  </mergeCells>
  <printOptions/>
  <pageMargins left="0.5118055555555556" right="0.31527777777777777" top="0.7479166666666667" bottom="0.7479166666666667" header="0.5118110236220472" footer="0.5118110236220472"/>
  <pageSetup horizontalDpi="300" verticalDpi="300" orientation="landscape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55" t="s">
        <v>367</v>
      </c>
      <c r="C4" s="255"/>
      <c r="D4" s="256">
        <f>IF('Residuos Especiales'!F64&lt;=156000,3900,(('Residuos Especiales'!F64)*2.5%))</f>
        <v>3900</v>
      </c>
      <c r="E4" s="256"/>
    </row>
    <row r="5" spans="2:5" ht="12.75" customHeight="1">
      <c r="B5" s="255"/>
      <c r="C5" s="255"/>
      <c r="D5" s="256"/>
      <c r="E5" s="256"/>
    </row>
    <row r="6" spans="2:5" ht="12.75">
      <c r="B6" s="255"/>
      <c r="C6" s="255"/>
      <c r="D6" s="256"/>
      <c r="E6" s="256"/>
    </row>
    <row r="7" spans="2:5" ht="12.75">
      <c r="B7" s="255"/>
      <c r="C7" s="255"/>
      <c r="D7" s="256"/>
      <c r="E7" s="256"/>
    </row>
    <row r="9" spans="4:5" ht="12.75">
      <c r="D9" s="223"/>
      <c r="E9" s="223"/>
    </row>
    <row r="10" spans="3:6" ht="15">
      <c r="C10" s="224"/>
      <c r="D10" s="225"/>
      <c r="E10" s="225"/>
      <c r="F10" s="223"/>
    </row>
    <row r="11" spans="2:5" ht="15.75" customHeight="1">
      <c r="B11" s="257" t="s">
        <v>368</v>
      </c>
      <c r="C11" s="257"/>
      <c r="D11" s="258">
        <v>0.012</v>
      </c>
      <c r="E11" s="258"/>
    </row>
    <row r="12" spans="2:5" ht="12.75">
      <c r="B12" s="257"/>
      <c r="C12" s="257"/>
      <c r="D12" s="259">
        <f>'Residuos Especiales'!F64*1.2%</f>
        <v>0</v>
      </c>
      <c r="E12" s="259"/>
    </row>
    <row r="13" spans="2:5" ht="12.75">
      <c r="B13" s="257"/>
      <c r="C13" s="257"/>
      <c r="D13" s="259"/>
      <c r="E13" s="259"/>
    </row>
    <row r="14" spans="2:5" ht="12.75">
      <c r="B14" s="257"/>
      <c r="C14" s="257"/>
      <c r="D14" s="259"/>
      <c r="E14" s="259"/>
    </row>
    <row r="15" spans="2:5" ht="12.75">
      <c r="B15" s="257"/>
      <c r="C15" s="257"/>
      <c r="D15" s="259"/>
      <c r="E15" s="259"/>
    </row>
    <row r="18" spans="2:5" ht="12.75" customHeight="1">
      <c r="B18" s="255" t="s">
        <v>369</v>
      </c>
      <c r="C18" s="255"/>
      <c r="D18" s="256">
        <f>'Residuos Especiales'!F64*0.1</f>
        <v>0</v>
      </c>
      <c r="E18" s="256"/>
    </row>
    <row r="19" spans="2:5" ht="12.75" customHeight="1">
      <c r="B19" s="255"/>
      <c r="C19" s="255"/>
      <c r="D19" s="256"/>
      <c r="E19" s="256"/>
    </row>
    <row r="20" spans="2:5" ht="12.75">
      <c r="B20" s="255"/>
      <c r="C20" s="255"/>
      <c r="D20" s="256"/>
      <c r="E20" s="256"/>
    </row>
    <row r="21" spans="2:5" ht="12.75">
      <c r="B21" s="255"/>
      <c r="C21" s="255"/>
      <c r="D21" s="256"/>
      <c r="E21" s="256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2024-04-01T11:24:27Z</cp:lastPrinted>
  <dcterms:created xsi:type="dcterms:W3CDTF">2024-03-31T23:58:00Z</dcterms:created>
  <dcterms:modified xsi:type="dcterms:W3CDTF">2024-04-01T11:26:27Z</dcterms:modified>
  <cp:category/>
  <cp:version/>
  <cp:contentType/>
  <cp:contentStatus/>
</cp:coreProperties>
</file>