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firstSheet="4" activeTab="4"/>
  </bookViews>
  <sheets>
    <sheet name="$xha" sheetId="1" state="hidden" r:id="rId1"/>
    <sheet name="Tablas" sheetId="2" state="hidden" r:id="rId2"/>
    <sheet name="x" sheetId="3" state="hidden" r:id="rId3"/>
    <sheet name="TABLA VI " sheetId="4" state="hidden" r:id="rId4"/>
    <sheet name="PD 1" sheetId="5" r:id="rId5"/>
    <sheet name="Descripción Categorias" sheetId="6" r:id="rId6"/>
    <sheet name="TASA DE VISADO" sheetId="7" r:id="rId7"/>
  </sheets>
  <externalReferences>
    <externalReference r:id="rId10"/>
    <externalReference r:id="rId11"/>
  </externalReferences>
  <definedNames>
    <definedName name="Aparatos_Sometidos_a_Presion" localSheetId="0">'$xha'!$A$1:$F$1145</definedName>
    <definedName name="_xlnm.Print_Area" localSheetId="4">'PD 1'!$B$20:$G$90</definedName>
    <definedName name="Civil">'PD 1'!$H$22</definedName>
    <definedName name="EISat1">'[1]ELOY (2)'!#REF!</definedName>
    <definedName name="Excel_BuiltIn_Print_Area" localSheetId="4">'PD 1'!$B$20:$G$90</definedName>
    <definedName name="Excel_BuiltIn_Print_Titles" localSheetId="4">'PD 1'!$2:$10</definedName>
    <definedName name="material">'[1]ELOY'!$A$8:$G$75</definedName>
    <definedName name="reptec">#REF!</definedName>
    <definedName name="_xlnm.Print_Titles" localSheetId="4">'PD 1'!$2:$10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<sst xmlns="http://schemas.openxmlformats.org/spreadsheetml/2006/main" count="1562" uniqueCount="438">
  <si>
    <t>cod</t>
  </si>
  <si>
    <t>Código</t>
  </si>
  <si>
    <t>Partido</t>
  </si>
  <si>
    <t>Circunscripción</t>
  </si>
  <si>
    <t>Valor Óptimo por Ha</t>
  </si>
  <si>
    <t>F6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</si>
  <si>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</si>
  <si>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</si>
  <si>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</si>
  <si>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</si>
  <si>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</si>
  <si>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</si>
  <si>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</si>
  <si>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</si>
  <si>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</si>
  <si>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</si>
  <si>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</si>
  <si>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</si>
  <si>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</si>
  <si>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</si>
  <si>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</si>
  <si>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</si>
  <si>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</si>
  <si>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</si>
  <si>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</si>
  <si>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</si>
  <si>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</si>
  <si>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</si>
  <si>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</si>
  <si>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</si>
  <si>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</si>
  <si>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</si>
  <si>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</si>
  <si>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</si>
  <si>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</si>
  <si>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</si>
  <si>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</si>
  <si>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</si>
  <si>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</si>
  <si>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</si>
  <si>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</si>
  <si>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</si>
  <si>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</si>
  <si>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</si>
  <si>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</si>
  <si>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</si>
  <si>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</si>
  <si>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</si>
  <si>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</si>
  <si>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</si>
  <si>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</si>
  <si>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</si>
  <si>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</si>
  <si>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</si>
  <si>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</si>
  <si>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</si>
  <si>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</si>
  <si>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</si>
  <si>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</si>
  <si>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</si>
  <si>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</si>
  <si>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</si>
  <si>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</si>
  <si>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</si>
  <si>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</si>
  <si>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</si>
  <si>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</si>
  <si>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</si>
  <si>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</si>
  <si>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</si>
  <si>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</si>
  <si>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</si>
  <si>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</si>
  <si>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</si>
  <si>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</si>
  <si>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</si>
  <si>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</si>
  <si>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</si>
  <si>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</si>
  <si>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</si>
  <si>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</si>
  <si>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</si>
  <si>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</si>
  <si>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</si>
  <si>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</si>
  <si>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</si>
  <si>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</si>
  <si>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</si>
  <si>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</si>
  <si>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</si>
  <si>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</si>
  <si>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</si>
  <si>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</si>
  <si>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</si>
  <si>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</si>
  <si>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</si>
  <si>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</si>
  <si>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</si>
  <si>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</si>
  <si>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</si>
  <si>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</si>
  <si>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</si>
  <si>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</si>
  <si>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</si>
  <si>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</si>
  <si>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</si>
  <si>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</si>
  <si>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</si>
  <si>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</si>
  <si>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</si>
  <si>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</si>
  <si>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</si>
  <si>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</si>
  <si>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</si>
  <si>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</si>
  <si>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</si>
  <si>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</si>
  <si>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</si>
  <si>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</si>
  <si>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</si>
  <si>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</si>
  <si>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</si>
  <si>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</si>
  <si>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</si>
  <si>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</si>
  <si>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</si>
  <si>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</si>
  <si>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</si>
  <si>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</si>
  <si>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</si>
  <si>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</si>
  <si>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</si>
  <si>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</si>
  <si>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</si>
  <si>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</si>
  <si>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</si>
  <si>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</si>
  <si>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</si>
  <si>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</si>
  <si>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</si>
  <si>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</si>
  <si>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</si>
  <si>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</si>
  <si>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</si>
  <si>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</si>
  <si>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</si>
  <si>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</si>
  <si>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</si>
  <si>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</si>
  <si>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</si>
  <si>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</si>
  <si>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</si>
  <si>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</si>
  <si>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</si>
  <si>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</si>
  <si>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</si>
  <si>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</si>
  <si>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</si>
  <si>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</si>
  <si>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</si>
  <si>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</si>
  <si>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</si>
  <si>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</si>
  <si>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</si>
  <si>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</si>
  <si>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</si>
  <si>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</si>
  <si>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</si>
  <si>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</si>
  <si>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</si>
  <si>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</si>
  <si>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</si>
  <si>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</si>
  <si>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</si>
  <si>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</si>
  <si>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</si>
  <si>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</si>
  <si>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</si>
  <si>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</si>
  <si>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</si>
  <si>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</si>
  <si>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</si>
  <si>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</si>
  <si>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</si>
  <si>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</si>
  <si>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</si>
  <si>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</si>
  <si>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</si>
  <si>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</si>
  <si>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</si>
  <si>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</si>
  <si>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</si>
  <si>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</si>
  <si>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</si>
  <si>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</si>
  <si>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</si>
  <si>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</si>
  <si>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</si>
  <si>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</si>
  <si>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</si>
  <si>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</si>
  <si>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</si>
  <si>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</si>
  <si>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</si>
  <si>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</si>
  <si>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</si>
  <si>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</si>
  <si>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</si>
  <si>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</si>
  <si>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</si>
  <si>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</si>
  <si>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</si>
  <si>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</si>
  <si>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</si>
  <si>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</si>
  <si>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</si>
  <si>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</si>
  <si>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</si>
  <si>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</si>
  <si>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</si>
  <si>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</si>
  <si>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</si>
  <si>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</si>
  <si>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</si>
  <si>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</si>
  <si>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</si>
  <si>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</si>
  <si>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</si>
  <si>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</si>
  <si>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</si>
  <si>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</si>
  <si>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</si>
  <si>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</si>
  <si>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</si>
  <si>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</si>
  <si>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</si>
  <si>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</si>
  <si>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</si>
  <si>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</si>
  <si>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</si>
  <si>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</si>
  <si>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</si>
  <si>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</si>
  <si>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</si>
  <si>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</si>
  <si>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</si>
  <si>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</si>
  <si>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</si>
  <si>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</si>
  <si>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</si>
  <si>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</si>
  <si>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</si>
  <si>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</si>
  <si>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</si>
  <si>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</si>
  <si>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</si>
  <si>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</si>
  <si>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</si>
  <si>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</si>
  <si>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</si>
  <si>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</si>
  <si>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</si>
  <si>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</si>
  <si>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</si>
  <si>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</si>
  <si>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</si>
  <si>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</si>
  <si>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</si>
  <si>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</si>
  <si>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</si>
  <si>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</si>
  <si>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</si>
  <si>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</si>
  <si>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</si>
  <si>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</si>
  <si>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</si>
  <si>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</si>
  <si>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</si>
  <si>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</si>
  <si>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</si>
  <si>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</si>
  <si>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</si>
  <si>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</si>
  <si>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</si>
  <si>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</si>
  <si>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</si>
  <si>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</si>
  <si>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</si>
  <si>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</si>
  <si>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</si>
  <si>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</si>
  <si>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</si>
  <si>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</si>
  <si>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</si>
  <si>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</si>
  <si>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</si>
  <si>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</si>
  <si>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</si>
  <si>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</si>
  <si>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</si>
  <si>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</si>
  <si>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</si>
  <si>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</si>
  <si>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</si>
  <si>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Profesional:</t>
  </si>
  <si>
    <t>Comitente:</t>
  </si>
  <si>
    <t>PROYECTO Y DIRECCIÓN TECNICA</t>
  </si>
  <si>
    <t>INGENIERÍA CIVIL</t>
  </si>
  <si>
    <t>Coef. de actualizacion</t>
  </si>
  <si>
    <t>Para Categorías 1º - 4º - 6º - 7º</t>
  </si>
  <si>
    <t>Categoría de Obra</t>
  </si>
  <si>
    <t>Contrato Ampliatorio</t>
  </si>
  <si>
    <t>Redeterminación</t>
  </si>
  <si>
    <t>Tareas</t>
  </si>
  <si>
    <r>
      <rPr>
        <sz val="10"/>
        <rFont val="Arial"/>
        <family val="0"/>
      </rPr>
      <t>Indicar con "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" lo que corresponda.</t>
    </r>
  </si>
  <si>
    <t>Tarea compartida</t>
  </si>
  <si>
    <t>Proyecto</t>
  </si>
  <si>
    <t>Proyecto Ejecutivo</t>
  </si>
  <si>
    <t>Dirección Técnica</t>
  </si>
  <si>
    <t>Plano de Detalle</t>
  </si>
  <si>
    <t>Dirección Ejecutiva por Contratos Separados</t>
  </si>
  <si>
    <t>(100 % D.T.)</t>
  </si>
  <si>
    <t>Dirección Ejecutiva</t>
  </si>
  <si>
    <t>(200 % D.T.)</t>
  </si>
  <si>
    <t>Interpretación de Proyecto (*)</t>
  </si>
  <si>
    <t>(*) En caso de Dirección Técnica sin intervención en el Proyecto</t>
  </si>
  <si>
    <t>Inspección de Obra</t>
  </si>
  <si>
    <t>Valor en Juego</t>
  </si>
  <si>
    <t>1. Valor en juego s/Computo y Presupuesto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</si>
  <si>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</si>
  <si>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Valor en juego calculado s/Superficies s/ Anexo II</t>
  </si>
  <si>
    <t xml:space="preserve"> m2        a          $/m2</t>
  </si>
  <si>
    <t>Valor en juego calculado s/Superficies.</t>
  </si>
  <si>
    <t xml:space="preserve">Valor en Juego Adoptado </t>
  </si>
  <si>
    <t>Calculo del Honorario Minimo</t>
  </si>
  <si>
    <t>Siguientes</t>
  </si>
  <si>
    <t>Honorario por Proyecto y Dirección   (I)</t>
  </si>
  <si>
    <t>Descomposición del Honorario</t>
  </si>
  <si>
    <t>Visado Nº</t>
  </si>
  <si>
    <t>Honorario Profesional Mínimo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</si>
  <si>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</si>
  <si>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</si>
  <si>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</si>
  <si>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</si>
  <si>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</si>
  <si>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8"/>
        <rFont val="Arial"/>
        <family val="2"/>
      </rPr>
      <t>Decreto Nº 784/71 Art. 2º</t>
    </r>
    <r>
      <rPr>
        <sz val="8"/>
        <rFont val="Arial"/>
        <family val="2"/>
      </rPr>
      <t>: "El profesional es directamente responsable ante el Colegio de Ingenieros, por la determinación del monto de sus honorarios,</t>
    </r>
  </si>
  <si>
    <t xml:space="preserve">           en caso de duda deberá consultar al referido Colegio"</t>
  </si>
  <si>
    <r>
      <rPr>
        <b/>
        <sz val="8"/>
        <rFont val="Arial"/>
        <family val="2"/>
      </rP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</si>
  <si>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éstos deberán reajustarse de acuerdo al arancel"</t>
  </si>
  <si>
    <t>Art 6º bis. Ley 10.416</t>
  </si>
  <si>
    <t xml:space="preserve">         "Ningún Organismo provincial, municipal o privado, dará aprobación final a ninguna documentación técnica presentada por </t>
  </si>
  <si>
    <t>y modif.10.698</t>
  </si>
  <si>
    <t xml:space="preserve">          ingenieros que carezca de las constancias de haberse realizado la visación por el Colegio de Ingenieros". </t>
  </si>
  <si>
    <t>CLASIFICACIÓN DE OBRAS</t>
  </si>
  <si>
    <t>INGENIERÍA AGRONÓMICA</t>
  </si>
  <si>
    <t>Decreto Nº 6.964/65 – Título VII</t>
  </si>
  <si>
    <r>
      <rPr>
        <b/>
        <sz val="11"/>
        <rFont val="Arial"/>
        <family val="2"/>
      </rPr>
      <t>Art. 1º</t>
    </r>
    <r>
      <rPr>
        <sz val="11"/>
        <rFont val="Arial"/>
        <family val="2"/>
      </rPr>
      <t xml:space="preserve"> .— Las obras de ingeniería agronómica, en lo que se refiere al aspecto específico, se clasificarán en las categorías </t>
    </r>
  </si>
  <si>
    <t>siguientes, a los efectos de la aplicación de la Tabla XVII y las obras no mencionadas se clasificarán por analogía:</t>
  </si>
  <si>
    <r>
      <rPr>
        <b/>
        <sz val="11"/>
        <rFont val="Arial"/>
        <family val="2"/>
      </rPr>
      <t>1ª)</t>
    </r>
    <r>
      <rPr>
        <sz val="11"/>
        <rFont val="Arial"/>
        <family val="2"/>
      </rPr>
      <t xml:space="preserve"> Establecimientos agrícolas y ganaderos.</t>
    </r>
  </si>
  <si>
    <r>
      <rPr>
        <b/>
        <sz val="11"/>
        <rFont val="Arial"/>
        <family val="2"/>
      </rPr>
      <t>2ª)</t>
    </r>
    <r>
      <rPr>
        <sz val="11"/>
        <rFont val="Arial"/>
        <family val="2"/>
      </rPr>
      <t xml:space="preserve"> Huertas y tambos.</t>
    </r>
  </si>
  <si>
    <r>
      <rPr>
        <b/>
        <sz val="11"/>
        <rFont val="Arial"/>
        <family val="2"/>
      </rPr>
      <t>3ª)</t>
    </r>
    <r>
      <rPr>
        <sz val="11"/>
        <rFont val="Arial"/>
        <family val="2"/>
      </rPr>
      <t xml:space="preserve"> Viveros, criaderos, granjas y cabañas.</t>
    </r>
  </si>
  <si>
    <r>
      <rPr>
        <b/>
        <sz val="11"/>
        <rFont val="Arial"/>
        <family val="2"/>
      </rPr>
      <t>6ª)</t>
    </r>
    <r>
      <rPr>
        <sz val="11"/>
        <rFont val="Arial"/>
        <family val="2"/>
      </rPr>
      <t xml:space="preserve"> Forestaciones.</t>
    </r>
  </si>
  <si>
    <r>
      <rPr>
        <b/>
        <sz val="11"/>
        <rFont val="Arial"/>
        <family val="2"/>
      </rPr>
      <t>8ª)</t>
    </r>
    <r>
      <rPr>
        <sz val="11"/>
        <rFont val="Arial"/>
        <family val="2"/>
      </rPr>
      <t xml:space="preserve"> Forestaciones de dunas y médanos, bañados y zonas montañosas. Conservación de suelos, desagües y riegos; </t>
    </r>
  </si>
  <si>
    <t>plantaciones de frutales y especiales.</t>
  </si>
  <si>
    <r>
      <rPr>
        <b/>
        <sz val="11"/>
        <rFont val="Arial"/>
        <family val="2"/>
      </rPr>
      <t>9ª)</t>
    </r>
    <r>
      <rPr>
        <sz val="11"/>
        <rFont val="Arial"/>
        <family val="2"/>
      </rPr>
      <t xml:space="preserve"> Parques y jardines, cascos de estancias, plazas y paseos públicos, campos de deportes.</t>
    </r>
  </si>
  <si>
    <t>ARQUITECTURA</t>
  </si>
  <si>
    <t>Decreto Nº 6.964/65 – Título VIII – Capítulo III</t>
  </si>
  <si>
    <r>
      <rPr>
        <b/>
        <sz val="11"/>
        <rFont val="Arial"/>
        <family val="2"/>
      </rPr>
      <t>Art. 15º</t>
    </r>
    <r>
      <rPr>
        <sz val="11"/>
        <rFont val="Arial"/>
        <family val="2"/>
      </rPr>
      <t>.</t>
    </r>
    <r>
      <rPr>
        <sz val="11"/>
        <rFont val="Arial Narrow"/>
        <family val="2"/>
      </rPr>
      <t>—</t>
    </r>
    <r>
      <rPr>
        <sz val="11"/>
        <rFont val="Arial"/>
        <family val="2"/>
      </rPr>
      <t xml:space="preserve"> Las obras de arquitectura se clasifican en las categorías siguientes a los efectos de la aplicación de la tabla XVII.</t>
    </r>
  </si>
  <si>
    <r>
      <rPr>
        <b/>
        <sz val="11"/>
        <rFont val="Arial"/>
        <family val="2"/>
      </rPr>
      <t>8ª)</t>
    </r>
    <r>
      <rPr>
        <sz val="11"/>
        <rFont val="Arial"/>
        <family val="2"/>
      </rPr>
      <t xml:space="preserve"> Obras en General.</t>
    </r>
  </si>
  <si>
    <r>
      <rPr>
        <b/>
        <sz val="11"/>
        <rFont val="Arial"/>
        <family val="2"/>
      </rPr>
      <t>10ª)</t>
    </r>
    <r>
      <rPr>
        <sz val="11"/>
        <rFont val="Arial"/>
        <family val="2"/>
      </rPr>
      <t xml:space="preserve"> Muebles, exposiciones y obras de exterior e interior.</t>
    </r>
  </si>
  <si>
    <t>Decreto Nº 6.964/65 – Título VIII – Capítulo IV</t>
  </si>
  <si>
    <r>
      <rPr>
        <b/>
        <sz val="11"/>
        <rFont val="Arial"/>
        <family val="2"/>
      </rPr>
      <t>Art. 16º</t>
    </r>
    <r>
      <rPr>
        <sz val="11"/>
        <rFont val="Arial"/>
        <family val="2"/>
      </rPr>
      <t>.</t>
    </r>
    <r>
      <rPr>
        <sz val="11"/>
        <rFont val="Arial Narrow"/>
        <family val="2"/>
      </rPr>
      <t>—</t>
    </r>
    <r>
      <rPr>
        <sz val="11"/>
        <rFont val="Arial"/>
        <family val="2"/>
      </rPr>
      <t xml:space="preserve"> Las obras de ingeniería civil se clasifican en las categorías siguientes, a los efectos de la aplicación de la </t>
    </r>
  </si>
  <si>
    <t>tabla XVII. Las obras no mencionadas se clasificarán por analogía:</t>
  </si>
  <si>
    <r>
      <rPr>
        <b/>
        <sz val="11"/>
        <rFont val="Arial"/>
        <family val="2"/>
      </rPr>
      <t>1ª)</t>
    </r>
    <r>
      <rPr>
        <sz val="11"/>
        <rFont val="Arial"/>
        <family val="2"/>
      </rPr>
      <t xml:space="preserve"> Alcantarillas, caminos, movimientos de tierra de toda clase, muros en seco y pavimentación.  (Pavimentación urbana </t>
    </r>
  </si>
  <si>
    <t>corresponde a cat. 4ª).</t>
  </si>
  <si>
    <r>
      <rPr>
        <b/>
        <sz val="11"/>
        <rFont val="Arial"/>
        <family val="2"/>
      </rPr>
      <t>4ª)</t>
    </r>
    <r>
      <rPr>
        <sz val="11"/>
        <rFont val="Arial"/>
        <family val="2"/>
      </rPr>
      <t xml:space="preserve"> Caminos en terrenos boscosos o cenagosos; canales de riego o de desagüe, defensas de riberas; derrocamientos de </t>
    </r>
  </si>
  <si>
    <t>diques fijos, fajinajes; ferrocarriles de llanura; fundaciones en tosca o en seco, muros de defensa o contención de Hº,</t>
  </si>
  <si>
    <t xml:space="preserve"> ladrillo o piedra; obras sanitarias particulares; piletas de natación; puentes fijos metálicos o de Hº Aº hasta treinta metros </t>
  </si>
  <si>
    <t xml:space="preserve">de luz estáticamente determinados; puentes de madera, hormigón, ladrillo o piedra, hasta quince metros de luz; </t>
  </si>
  <si>
    <t xml:space="preserve">tablestacado de todas clases. Según Res. CPI Nº 2799/80 Pavimentos Urbanos se incluye dentro de esta categoría. </t>
  </si>
  <si>
    <t>Desagües pluviales de pavimentos urbanos corresponde a categoría 7º.</t>
  </si>
  <si>
    <r>
      <rPr>
        <b/>
        <sz val="11"/>
        <rFont val="Arial"/>
        <family val="2"/>
      </rPr>
      <t>6ª)</t>
    </r>
    <r>
      <rPr>
        <sz val="11"/>
        <rFont val="Arial"/>
        <family val="2"/>
      </rPr>
      <t xml:space="preserve"> Aeropuertos; balsas de todas clases, menos ferrocarriles; caminos de montaña; canales de navegación, canalización </t>
    </r>
  </si>
  <si>
    <t xml:space="preserve">y regularización de ríos; construcciones subterráneas, depósitos, fábricas, hangares, defensa de riberas con fundaciones </t>
  </si>
  <si>
    <t xml:space="preserve">complejas; drenajes en terrenos anegadizos; estudio y corrección de suelos; estructuras metálicas y de HºAº no </t>
  </si>
  <si>
    <t xml:space="preserve">comprendidas en la categoría 7ª); ferrocarriles de montaña; fundaciones bajo agua, con o sin desagotamiento, excluidos </t>
  </si>
  <si>
    <t xml:space="preserve">los sistemas de aire comprimido, congelación y consolidación química; hornos incineradores; muros de defensa o </t>
  </si>
  <si>
    <t>contención con fundaciones complejas; obras hidráulicas para plantas hidroeléctricas; presas móviles; perforaciones hasta</t>
  </si>
  <si>
    <t xml:space="preserve"> cien metros de profundidad; pilotajes; puentes fijos metálicos o de Hº Aº estáticamente determinados de más de 30 metros </t>
  </si>
  <si>
    <t>de luz; sifones de canales; tranvías.</t>
  </si>
  <si>
    <r>
      <rPr>
        <b/>
        <sz val="11"/>
        <rFont val="Arial"/>
        <family val="2"/>
      </rPr>
      <t>7ª)</t>
    </r>
    <r>
      <rPr>
        <sz val="11"/>
        <rFont val="Arial"/>
        <family val="2"/>
      </rPr>
      <t xml:space="preserve"> Balsas para ferrocarriles; cablecarriles; captación de agua; chimeneas; corrección o depuración de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 xml:space="preserve">aguas, </t>
    </r>
  </si>
  <si>
    <t xml:space="preserve">construcciones estáticamente indeterminadas de Hº Aº o metálica; cúpulas y torres; piletas de bodegas; depósitos </t>
  </si>
  <si>
    <t xml:space="preserve">elevados de más de quince metros de altura; ferrocarriles funiculares; fundaciones de aire comprimido por congelación y </t>
  </si>
  <si>
    <t xml:space="preserve">por consolidación química; muros de embalse; obras de saneamiento, urbanas y rurales; perforaciones mayores de cien </t>
  </si>
  <si>
    <t>metros de profundidad; presas móviles con fundaciones complejas; puentes móviles; tranvías subterráneos; túneles.</t>
  </si>
  <si>
    <t xml:space="preserve">Res. Nº 925: Determínase el honorario profesional para el cálculo de estructuras resistentes de edificios, por aplicación de </t>
  </si>
  <si>
    <r>
      <rPr>
        <sz val="11"/>
        <rFont val="Arial"/>
        <family val="2"/>
      </rPr>
      <t xml:space="preserve">la categoría 7º. Según Res. </t>
    </r>
    <r>
      <rPr>
        <sz val="10"/>
        <rFont val="Arial"/>
        <family val="2"/>
      </rPr>
      <t>CPI Nº 2799/80</t>
    </r>
    <r>
      <rPr>
        <sz val="11"/>
        <rFont val="Arial"/>
        <family val="2"/>
      </rPr>
      <t xml:space="preserve"> Desagües pluviales de Pavimentos Urbanos se incluye dentro de esta categoría.</t>
    </r>
  </si>
  <si>
    <t>ELECTRICIDAD, MECÁNICA E INDUSTRIA</t>
  </si>
  <si>
    <t>Decreto Nº 6.964/65 – Título VIII – Capítulo V</t>
  </si>
  <si>
    <r>
      <rPr>
        <b/>
        <sz val="11"/>
        <rFont val="Arial"/>
        <family val="2"/>
      </rPr>
      <t>Art. 17º</t>
    </r>
    <r>
      <rPr>
        <sz val="11"/>
        <rFont val="Arial"/>
        <family val="2"/>
      </rPr>
      <t xml:space="preserve">. </t>
    </r>
    <r>
      <rPr>
        <sz val="11"/>
        <rFont val="Arial Narrow"/>
        <family val="2"/>
      </rPr>
      <t>—</t>
    </r>
    <r>
      <rPr>
        <sz val="11"/>
        <rFont val="Arial"/>
        <family val="2"/>
      </rPr>
      <t xml:space="preserve"> Las instalaciones eléctricas, industriales, mecánicas y centrales productoras de energía, se clasifican en las </t>
    </r>
  </si>
  <si>
    <t xml:space="preserve">categorías siguientes, a los efectos de la aplicación de la Tabla XVII. </t>
  </si>
  <si>
    <t>Los trabajos no mencionados se clasificarán por analogía:</t>
  </si>
  <si>
    <r>
      <rPr>
        <b/>
        <sz val="11"/>
        <rFont val="Arial"/>
        <family val="2"/>
      </rPr>
      <t>3ª)</t>
    </r>
    <r>
      <rPr>
        <sz val="11"/>
        <rFont val="Arial"/>
        <family val="2"/>
      </rPr>
      <t xml:space="preserve"> Instalaciones  domiciliarias  de electricidad, teléfonos, gas, calefacción, ventilación, refrigeración, lavaderos, cocinas, </t>
    </r>
  </si>
  <si>
    <t>cámaras frías, ascensores, aire comprimido, vacío y obras semejantes.</t>
  </si>
  <si>
    <r>
      <rPr>
        <b/>
        <sz val="11"/>
        <rFont val="Arial"/>
        <family val="2"/>
      </rPr>
      <t>5º)</t>
    </r>
    <r>
      <rPr>
        <sz val="11"/>
        <rFont val="Arial"/>
        <family val="2"/>
      </rPr>
      <t xml:space="preserve"> Res. Nº 1044 - INSTALACIONES ELECTRICAS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Y CENTRALES PRODUCTORAS DE ENERGIA</t>
    </r>
    <r>
      <rPr>
        <sz val="12"/>
        <rFont val="Times New Roman"/>
        <family val="1"/>
      </rPr>
      <t>,</t>
    </r>
    <r>
      <rPr>
        <sz val="11"/>
        <rFont val="Arial"/>
        <family val="2"/>
      </rPr>
      <t xml:space="preserve"> con la interpretación </t>
    </r>
  </si>
  <si>
    <t xml:space="preserve">respecto del rubro Eléctrico según se detalla: </t>
  </si>
  <si>
    <t xml:space="preserve">“Para instalaciones de Baja tensión (BT) con tensiones de servicio hasta 1.000 V, como por ejemplo: líneas aéreas y </t>
  </si>
  <si>
    <t xml:space="preserve">subterráneas, centros de medición, centros de suministros, generación, instalaciones en inmuebles no domiciliarios </t>
  </si>
  <si>
    <t>y obras complementarias.”</t>
  </si>
  <si>
    <t xml:space="preserve">Redes urbanas de distribución de gas, vapor y telecomunicaciones; instalaciones mecánicas en industrias, laboratorios, </t>
  </si>
  <si>
    <t>locales de alta tensión y talleres.</t>
  </si>
  <si>
    <r>
      <rPr>
        <b/>
        <sz val="11"/>
        <rFont val="Arial"/>
        <family val="2"/>
      </rPr>
      <t>7ª)</t>
    </r>
    <r>
      <rPr>
        <sz val="11"/>
        <rFont val="Arial"/>
        <family val="2"/>
      </rPr>
      <t xml:space="preserve"> Res. Nº 1044 - INSTALACIONES ELECTRICAS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Y CENTRALES PRODUCTORAS DE ENERGIA</t>
    </r>
    <r>
      <rPr>
        <sz val="12"/>
        <rFont val="Times New Roman"/>
        <family val="1"/>
      </rPr>
      <t>,</t>
    </r>
    <r>
      <rPr>
        <sz val="11"/>
        <rFont val="Arial"/>
        <family val="2"/>
      </rPr>
      <t xml:space="preserve"> con la interpretación </t>
    </r>
  </si>
  <si>
    <t>respecto del rubro Eléctrico según se detalla:</t>
  </si>
  <si>
    <t xml:space="preserve">“Para instalaciones de Media tensión (MT) con tensiones de servicio desde 1.001 V hasta 33.000 V, como por ejemplo: </t>
  </si>
  <si>
    <t xml:space="preserve">líneas aéreas y subterráneas, centros de medición, generación, centros de transformación, redes en Barrios cerrados, </t>
  </si>
  <si>
    <t>Clubes de campo, Clubes de chacra, y obras complementarias.”</t>
  </si>
  <si>
    <t>Conductos para transporte a larga distancia de combustibles líquidos o gas.</t>
  </si>
  <si>
    <r>
      <rPr>
        <b/>
        <sz val="11"/>
        <rFont val="Arial"/>
        <family val="2"/>
      </rPr>
      <t>8º)</t>
    </r>
    <r>
      <rPr>
        <sz val="11"/>
        <rFont val="Arial"/>
        <family val="2"/>
      </rPr>
      <t xml:space="preserve"> Res. Nº 1044 - INSTALACIONES ELECTRICAS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Y CENTRALES PRODUCTORAS DE ENERGIA</t>
    </r>
    <r>
      <rPr>
        <sz val="12"/>
        <rFont val="Times New Roman"/>
        <family val="1"/>
      </rPr>
      <t>,</t>
    </r>
    <r>
      <rPr>
        <sz val="11"/>
        <rFont val="Arial"/>
        <family val="2"/>
      </rPr>
      <t xml:space="preserve"> con la interpretación </t>
    </r>
  </si>
  <si>
    <r>
      <rPr>
        <sz val="11"/>
        <rFont val="Arial"/>
        <family val="2"/>
      </rPr>
      <t>“Para instalaciones de Alta tensión (AT) con tensiones de servicio desde 33.001 V en adelante, como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 xml:space="preserve">por ejemplo: líneas </t>
    </r>
  </si>
  <si>
    <t xml:space="preserve">aéreas y subterráneas, centros de generación, de transformación, de suministros, de medición, etc. y obras </t>
  </si>
  <si>
    <t xml:space="preserve">complementarias. En todos los casos, para la determinación de la categoría deberá considerarse la tensión de mayor </t>
  </si>
  <si>
    <t>valor de servicio involucrada.”</t>
  </si>
  <si>
    <t>Centrales productoras de energía térmicas e hidráulicas y de telecomunicaciones, industrias.</t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</si>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</sst>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 * #,##0.00_ ;_ * \-#,##0.00_ ;_ * &quot;-&quot;??_ ;_ @_ "/>
    <numFmt numFmtId="187" formatCode="[$$-2C0A]\ #,##0.00;[$$-2C0A]\ \-#,##0.00"/>
    <numFmt numFmtId="188" formatCode="_ &quot;$&quot;\ * #,##0.00_ ;_ &quot;$&quot;\ * \-#,##0.00_ ;_ &quot;$&quot;\ * &quot;-&quot;??_ ;_ @_ "/>
    <numFmt numFmtId="189" formatCode="_ * #,##0_ ;_ * \-#,##0_ ;_ * &quot;-&quot;??_ ;_ @_ "/>
    <numFmt numFmtId="190" formatCode="&quot;$&quot;\ #,##0.00;[Red]&quot;$&quot;\ \-#,##0.00"/>
    <numFmt numFmtId="191" formatCode="&quot;$&quot;\ #,##0;[Red]&quot;$&quot;\ \-#,##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i/>
      <sz val="16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i/>
      <u val="single"/>
      <sz val="11"/>
      <name val="Arial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2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53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1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166" fontId="20" fillId="0" borderId="11" xfId="0" applyNumberFormat="1" applyFont="1" applyFill="1" applyBorder="1" applyAlignment="1" applyProtection="1">
      <alignment horizontal="center"/>
      <protection hidden="1"/>
    </xf>
    <xf numFmtId="167" fontId="20" fillId="0" borderId="0" xfId="0" applyNumberFormat="1" applyFont="1" applyAlignment="1" applyProtection="1">
      <alignment horizontal="center"/>
      <protection hidden="1"/>
    </xf>
    <xf numFmtId="166" fontId="20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20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18" fillId="0" borderId="30" xfId="0" applyFont="1" applyBorder="1" applyAlignment="1" applyProtection="1">
      <alignment/>
      <protection hidden="1"/>
    </xf>
    <xf numFmtId="0" fontId="18" fillId="0" borderId="31" xfId="0" applyFont="1" applyBorder="1" applyAlignment="1" applyProtection="1">
      <alignment/>
      <protection hidden="1"/>
    </xf>
    <xf numFmtId="0" fontId="18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18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175" fontId="0" fillId="0" borderId="0" xfId="48" applyNumberFormat="1" applyFont="1" applyFill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18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184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29" fillId="0" borderId="11" xfId="48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2" fontId="29" fillId="0" borderId="11" xfId="0" applyNumberFormat="1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2" fontId="30" fillId="0" borderId="11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0" fillId="0" borderId="0" xfId="0" applyNumberFormat="1" applyFont="1" applyBorder="1" applyAlignment="1" applyProtection="1">
      <alignment/>
      <protection hidden="1"/>
    </xf>
    <xf numFmtId="2" fontId="29" fillId="0" borderId="0" xfId="0" applyNumberFormat="1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center"/>
      <protection hidden="1"/>
    </xf>
    <xf numFmtId="164" fontId="29" fillId="0" borderId="11" xfId="48" applyFont="1" applyFill="1" applyBorder="1" applyAlignment="1" applyProtection="1">
      <alignment/>
      <protection hidden="1"/>
    </xf>
    <xf numFmtId="0" fontId="29" fillId="0" borderId="11" xfId="0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 horizontal="right"/>
      <protection hidden="1"/>
    </xf>
    <xf numFmtId="167" fontId="18" fillId="25" borderId="37" xfId="0" applyNumberFormat="1" applyFont="1" applyFill="1" applyBorder="1" applyAlignment="1" applyProtection="1">
      <alignment horizontal="center"/>
      <protection locked="0"/>
    </xf>
    <xf numFmtId="49" fontId="18" fillId="25" borderId="37" xfId="0" applyNumberFormat="1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right"/>
      <protection hidden="1"/>
    </xf>
    <xf numFmtId="2" fontId="18" fillId="0" borderId="11" xfId="0" applyNumberFormat="1" applyFont="1" applyFill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3" fontId="0" fillId="0" borderId="18" xfId="48" applyNumberFormat="1" applyFont="1" applyFill="1" applyBorder="1" applyAlignment="1" applyProtection="1">
      <alignment horizontal="center"/>
      <protection hidden="1"/>
    </xf>
    <xf numFmtId="3" fontId="0" fillId="0" borderId="19" xfId="48" applyNumberFormat="1" applyFont="1" applyFill="1" applyBorder="1" applyAlignment="1" applyProtection="1">
      <alignment horizontal="center"/>
      <protection hidden="1"/>
    </xf>
    <xf numFmtId="170" fontId="0" fillId="0" borderId="18" xfId="58" applyNumberFormat="1" applyFont="1" applyFill="1" applyBorder="1" applyAlignment="1" applyProtection="1">
      <alignment horizontal="center"/>
      <protection hidden="1"/>
    </xf>
    <xf numFmtId="3" fontId="0" fillId="0" borderId="12" xfId="48" applyNumberFormat="1" applyFont="1" applyFill="1" applyBorder="1" applyAlignment="1" applyProtection="1">
      <alignment horizontal="center"/>
      <protection hidden="1"/>
    </xf>
    <xf numFmtId="3" fontId="0" fillId="0" borderId="13" xfId="48" applyNumberFormat="1" applyFont="1" applyFill="1" applyBorder="1" applyAlignment="1" applyProtection="1">
      <alignment horizontal="center"/>
      <protection hidden="1"/>
    </xf>
    <xf numFmtId="170" fontId="0" fillId="0" borderId="12" xfId="58" applyNumberFormat="1" applyFont="1" applyFill="1" applyBorder="1" applyAlignment="1" applyProtection="1">
      <alignment horizontal="center"/>
      <protection hidden="1"/>
    </xf>
    <xf numFmtId="170" fontId="0" fillId="0" borderId="14" xfId="58" applyNumberFormat="1" applyFont="1" applyFill="1" applyBorder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18" fillId="25" borderId="11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hidden="1"/>
    </xf>
    <xf numFmtId="0" fontId="0" fillId="25" borderId="11" xfId="0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right"/>
      <protection hidden="1"/>
    </xf>
    <xf numFmtId="0" fontId="0" fillId="0" borderId="42" xfId="0" applyFont="1" applyBorder="1" applyAlignment="1" applyProtection="1">
      <alignment horizontal="right"/>
      <protection hidden="1"/>
    </xf>
    <xf numFmtId="175" fontId="0" fillId="25" borderId="11" xfId="52" applyNumberFormat="1" applyFont="1" applyFill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hidden="1"/>
    </xf>
    <xf numFmtId="4" fontId="0" fillId="25" borderId="11" xfId="0" applyNumberFormat="1" applyFill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/>
      <protection hidden="1"/>
    </xf>
    <xf numFmtId="175" fontId="39" fillId="0" borderId="44" xfId="52" applyNumberFormat="1" applyFont="1" applyFill="1" applyBorder="1" applyAlignment="1" applyProtection="1">
      <alignment horizontal="center"/>
      <protection hidden="1"/>
    </xf>
    <xf numFmtId="175" fontId="0" fillId="0" borderId="44" xfId="52" applyNumberFormat="1" applyFont="1" applyFill="1" applyBorder="1" applyAlignment="1" applyProtection="1">
      <alignment horizontal="center"/>
      <protection hidden="1"/>
    </xf>
    <xf numFmtId="164" fontId="0" fillId="0" borderId="0" xfId="48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5" fontId="32" fillId="0" borderId="11" xfId="0" applyNumberFormat="1" applyFont="1" applyBorder="1" applyAlignment="1" applyProtection="1">
      <alignment horizontal="center"/>
      <protection hidden="1"/>
    </xf>
    <xf numFmtId="175" fontId="0" fillId="0" borderId="0" xfId="0" applyNumberFormat="1" applyFont="1" applyFill="1" applyAlignment="1" applyProtection="1">
      <alignment/>
      <protection hidden="1"/>
    </xf>
    <xf numFmtId="164" fontId="33" fillId="0" borderId="0" xfId="48" applyFont="1" applyFill="1" applyBorder="1" applyAlignment="1" applyProtection="1">
      <alignment/>
      <protection hidden="1"/>
    </xf>
    <xf numFmtId="175" fontId="40" fillId="0" borderId="0" xfId="0" applyNumberFormat="1" applyFont="1" applyFill="1" applyAlignment="1" applyProtection="1">
      <alignment/>
      <protection hidden="1"/>
    </xf>
    <xf numFmtId="164" fontId="33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176" fontId="44" fillId="0" borderId="42" xfId="48" applyNumberFormat="1" applyFont="1" applyFill="1" applyBorder="1" applyAlignment="1" applyProtection="1">
      <alignment horizontal="center" vertical="center"/>
      <protection hidden="1"/>
    </xf>
    <xf numFmtId="176" fontId="43" fillId="25" borderId="42" xfId="48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hidden="1"/>
    </xf>
    <xf numFmtId="0" fontId="18" fillId="0" borderId="0" xfId="0" applyFont="1" applyAlignment="1" applyProtection="1">
      <alignment vertical="center"/>
      <protection hidden="1"/>
    </xf>
    <xf numFmtId="0" fontId="33" fillId="0" borderId="0" xfId="0" applyFont="1" applyFill="1" applyAlignment="1" applyProtection="1">
      <alignment/>
      <protection hidden="1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40" fillId="0" borderId="41" xfId="0" applyFont="1" applyBorder="1" applyAlignment="1">
      <alignment/>
    </xf>
    <xf numFmtId="0" fontId="40" fillId="0" borderId="48" xfId="0" applyFont="1" applyBorder="1" applyAlignment="1">
      <alignment/>
    </xf>
    <xf numFmtId="0" fontId="40" fillId="0" borderId="42" xfId="0" applyFont="1" applyBorder="1" applyAlignment="1">
      <alignment/>
    </xf>
    <xf numFmtId="0" fontId="20" fillId="0" borderId="11" xfId="0" applyFont="1" applyBorder="1" applyAlignment="1" applyProtection="1">
      <alignment horizontal="center"/>
      <protection hidden="1"/>
    </xf>
    <xf numFmtId="0" fontId="20" fillId="0" borderId="49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164" fontId="0" fillId="0" borderId="51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18" fillId="0" borderId="52" xfId="0" applyFont="1" applyBorder="1" applyAlignment="1" applyProtection="1">
      <alignment horizontal="center" textRotation="90"/>
      <protection hidden="1"/>
    </xf>
    <xf numFmtId="49" fontId="18" fillId="25" borderId="0" xfId="0" applyNumberFormat="1" applyFont="1" applyFill="1" applyBorder="1" applyAlignment="1" applyProtection="1">
      <alignment horizontal="center"/>
      <protection locked="0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18" fillId="0" borderId="50" xfId="0" applyFont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right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right"/>
      <protection hidden="1"/>
    </xf>
    <xf numFmtId="0" fontId="38" fillId="0" borderId="53" xfId="0" applyFont="1" applyBorder="1" applyAlignment="1" applyProtection="1">
      <alignment horizontal="left"/>
      <protection hidden="1"/>
    </xf>
    <xf numFmtId="0" fontId="38" fillId="0" borderId="0" xfId="0" applyFont="1" applyBorder="1" applyAlignment="1" applyProtection="1">
      <alignment/>
      <protection hidden="1"/>
    </xf>
    <xf numFmtId="0" fontId="40" fillId="0" borderId="0" xfId="0" applyFont="1" applyBorder="1" applyAlignment="1" applyProtection="1">
      <alignment horizontal="right"/>
      <protection hidden="1"/>
    </xf>
    <xf numFmtId="175" fontId="40" fillId="0" borderId="0" xfId="52" applyNumberFormat="1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right"/>
      <protection hidden="1"/>
    </xf>
    <xf numFmtId="0" fontId="43" fillId="0" borderId="41" xfId="0" applyFont="1" applyFill="1" applyBorder="1" applyAlignment="1" applyProtection="1">
      <alignment horizontal="center" vertical="center"/>
      <protection hidden="1"/>
    </xf>
    <xf numFmtId="0" fontId="35" fillId="0" borderId="38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25" borderId="37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40" fillId="26" borderId="41" xfId="0" applyFont="1" applyFill="1" applyBorder="1" applyAlignment="1">
      <alignment horizontal="center" vertical="center" wrapText="1"/>
    </xf>
    <xf numFmtId="176" fontId="20" fillId="7" borderId="49" xfId="52" applyFont="1" applyFill="1" applyBorder="1" applyAlignment="1" applyProtection="1">
      <alignment horizontal="center" vertical="center"/>
      <protection/>
    </xf>
    <xf numFmtId="0" fontId="40" fillId="0" borderId="13" xfId="0" applyFont="1" applyBorder="1" applyAlignment="1">
      <alignment horizontal="center" vertical="center"/>
    </xf>
    <xf numFmtId="169" fontId="18" fillId="0" borderId="54" xfId="0" applyNumberFormat="1" applyFont="1" applyBorder="1" applyAlignment="1">
      <alignment horizontal="center" vertical="center" wrapText="1"/>
    </xf>
    <xf numFmtId="176" fontId="18" fillId="7" borderId="49" xfId="52" applyFont="1" applyFill="1" applyBorder="1" applyAlignment="1" applyProtection="1">
      <alignment horizontal="center" vertical="center"/>
      <protection/>
    </xf>
    <xf numFmtId="0" fontId="18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55" xfId="0" applyFont="1" applyBorder="1" applyAlignment="1" applyProtection="1">
      <alignment/>
      <protection hidden="1"/>
    </xf>
    <xf numFmtId="0" fontId="22" fillId="27" borderId="56" xfId="0" applyFont="1" applyFill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8" xfId="0" applyFont="1" applyBorder="1" applyAlignment="1" applyProtection="1">
      <alignment/>
      <protection hidden="1"/>
    </xf>
    <xf numFmtId="0" fontId="0" fillId="28" borderId="55" xfId="0" applyFill="1" applyBorder="1" applyAlignment="1" applyProtection="1">
      <alignment/>
      <protection hidden="1"/>
    </xf>
    <xf numFmtId="172" fontId="18" fillId="29" borderId="56" xfId="0" applyNumberFormat="1" applyFont="1" applyFill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/>
      <protection hidden="1"/>
    </xf>
    <xf numFmtId="172" fontId="18" fillId="0" borderId="0" xfId="0" applyNumberFormat="1" applyFont="1" applyAlignment="1" applyProtection="1">
      <alignment horizontal="center"/>
      <protection locked="0"/>
    </xf>
    <xf numFmtId="172" fontId="18" fillId="0" borderId="56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18" fillId="0" borderId="0" xfId="0" applyNumberFormat="1" applyFont="1" applyAlignment="1" applyProtection="1">
      <alignment horizontal="center"/>
      <protection locked="0"/>
    </xf>
    <xf numFmtId="166" fontId="18" fillId="29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18" fillId="29" borderId="56" xfId="0" applyNumberFormat="1" applyFont="1" applyFill="1" applyBorder="1" applyAlignment="1" applyProtection="1">
      <alignment horizontal="center"/>
      <protection locked="0"/>
    </xf>
    <xf numFmtId="166" fontId="18" fillId="0" borderId="0" xfId="0" applyNumberFormat="1" applyFont="1" applyAlignment="1" applyProtection="1">
      <alignment horizontal="center"/>
      <protection locked="0"/>
    </xf>
    <xf numFmtId="174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7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7" fontId="0" fillId="0" borderId="0" xfId="0" applyNumberFormat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9" xfId="0" applyFont="1" applyBorder="1" applyAlignment="1" applyProtection="1">
      <alignment/>
      <protection hidden="1"/>
    </xf>
    <xf numFmtId="0" fontId="0" fillId="0" borderId="60" xfId="0" applyBorder="1" applyAlignment="1" applyProtection="1">
      <alignment/>
      <protection hidden="1"/>
    </xf>
    <xf numFmtId="0" fontId="0" fillId="27" borderId="60" xfId="0" applyFill="1" applyBorder="1" applyAlignment="1" applyProtection="1">
      <alignment/>
      <protection hidden="1"/>
    </xf>
    <xf numFmtId="3" fontId="0" fillId="27" borderId="60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61" xfId="52" applyFont="1" applyFill="1" applyBorder="1" applyAlignment="1">
      <alignment/>
    </xf>
    <xf numFmtId="176" fontId="0" fillId="0" borderId="61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89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18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0" fontId="18" fillId="0" borderId="0" xfId="0" applyNumberFormat="1" applyFont="1" applyAlignment="1" applyProtection="1">
      <alignment/>
      <protection hidden="1"/>
    </xf>
    <xf numFmtId="180" fontId="18" fillId="30" borderId="0" xfId="0" applyNumberFormat="1" applyFont="1" applyFill="1" applyAlignment="1" applyProtection="1">
      <alignment horizontal="center"/>
      <protection locked="0"/>
    </xf>
    <xf numFmtId="191" fontId="18" fillId="0" borderId="0" xfId="0" applyNumberFormat="1" applyFont="1" applyAlignment="1" applyProtection="1">
      <alignment/>
      <protection hidden="1"/>
    </xf>
    <xf numFmtId="176" fontId="0" fillId="0" borderId="62" xfId="52" applyFont="1" applyBorder="1" applyAlignment="1">
      <alignment horizontal="center" vertical="center" wrapText="1"/>
    </xf>
    <xf numFmtId="176" fontId="0" fillId="0" borderId="63" xfId="52" applyFont="1" applyBorder="1" applyAlignment="1">
      <alignment horizontal="center" vertical="center" wrapText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64" xfId="0" applyNumberFormat="1" applyBorder="1" applyAlignment="1" applyProtection="1">
      <alignment/>
      <protection hidden="1"/>
    </xf>
    <xf numFmtId="172" fontId="0" fillId="0" borderId="65" xfId="0" applyNumberFormat="1" applyBorder="1" applyAlignment="1" applyProtection="1">
      <alignment/>
      <protection hidden="1"/>
    </xf>
    <xf numFmtId="176" fontId="0" fillId="0" borderId="67" xfId="52" applyFont="1" applyBorder="1" applyAlignment="1">
      <alignment horizontal="center" vertical="center" wrapText="1"/>
    </xf>
    <xf numFmtId="0" fontId="0" fillId="0" borderId="62" xfId="0" applyBorder="1" applyAlignment="1" applyProtection="1">
      <alignment horizontal="center" vertical="center" wrapText="1"/>
      <protection hidden="1"/>
    </xf>
    <xf numFmtId="188" fontId="0" fillId="0" borderId="57" xfId="0" applyNumberFormat="1" applyBorder="1" applyAlignment="1" applyProtection="1">
      <alignment/>
      <protection hidden="1"/>
    </xf>
    <xf numFmtId="172" fontId="0" fillId="0" borderId="68" xfId="0" applyNumberFormat="1" applyBorder="1" applyAlignment="1" applyProtection="1">
      <alignment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188" fontId="0" fillId="0" borderId="59" xfId="0" applyNumberFormat="1" applyBorder="1" applyAlignment="1" applyProtection="1">
      <alignment/>
      <protection hidden="1"/>
    </xf>
    <xf numFmtId="172" fontId="0" fillId="0" borderId="66" xfId="0" applyNumberFormat="1" applyBorder="1" applyAlignment="1" applyProtection="1">
      <alignment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188" fontId="0" fillId="29" borderId="64" xfId="0" applyNumberFormat="1" applyFill="1" applyBorder="1" applyAlignment="1" applyProtection="1">
      <alignment/>
      <protection hidden="1"/>
    </xf>
    <xf numFmtId="188" fontId="0" fillId="0" borderId="61" xfId="0" applyNumberFormat="1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188" fontId="0" fillId="0" borderId="65" xfId="0" applyNumberFormat="1" applyBorder="1" applyAlignment="1" applyProtection="1">
      <alignment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188" fontId="0" fillId="29" borderId="0" xfId="0" applyNumberFormat="1" applyFill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188" fontId="0" fillId="0" borderId="68" xfId="0" applyNumberFormat="1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0" fillId="0" borderId="60" xfId="0" applyBorder="1" applyAlignment="1" applyProtection="1">
      <alignment horizontal="center"/>
      <protection hidden="1"/>
    </xf>
    <xf numFmtId="0" fontId="0" fillId="0" borderId="66" xfId="0" applyBorder="1" applyAlignment="1" applyProtection="1">
      <alignment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182" fontId="24" fillId="27" borderId="55" xfId="0" applyNumberFormat="1" applyFont="1" applyFill="1" applyBorder="1" applyAlignment="1">
      <alignment horizontal="center"/>
    </xf>
    <xf numFmtId="182" fontId="24" fillId="0" borderId="55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31" borderId="0" xfId="0" applyFont="1" applyFill="1" applyAlignment="1">
      <alignment/>
    </xf>
    <xf numFmtId="0" fontId="0" fillId="31" borderId="0" xfId="0" applyFill="1" applyAlignment="1">
      <alignment/>
    </xf>
    <xf numFmtId="182" fontId="24" fillId="0" borderId="69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6" fillId="32" borderId="69" xfId="0" applyFont="1" applyFill="1" applyBorder="1" applyAlignment="1">
      <alignment/>
    </xf>
    <xf numFmtId="0" fontId="26" fillId="32" borderId="70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6" fillId="32" borderId="58" xfId="0" applyFont="1" applyFill="1" applyBorder="1" applyAlignment="1">
      <alignment/>
    </xf>
    <xf numFmtId="0" fontId="26" fillId="32" borderId="55" xfId="0" applyFont="1" applyFill="1" applyBorder="1" applyAlignment="1">
      <alignment/>
    </xf>
    <xf numFmtId="0" fontId="26" fillId="0" borderId="58" xfId="0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71" xfId="0" applyFont="1" applyBorder="1" applyAlignment="1">
      <alignment/>
    </xf>
    <xf numFmtId="0" fontId="26" fillId="0" borderId="72" xfId="0" applyFont="1" applyBorder="1" applyAlignment="1">
      <alignment/>
    </xf>
    <xf numFmtId="182" fontId="24" fillId="0" borderId="58" xfId="0" applyNumberFormat="1" applyFont="1" applyBorder="1" applyAlignment="1">
      <alignment horizontal="center"/>
    </xf>
    <xf numFmtId="2" fontId="26" fillId="0" borderId="69" xfId="0" applyNumberFormat="1" applyFont="1" applyBorder="1" applyAlignment="1">
      <alignment horizontal="center"/>
    </xf>
    <xf numFmtId="0" fontId="26" fillId="0" borderId="69" xfId="0" applyFont="1" applyBorder="1" applyAlignment="1">
      <alignment/>
    </xf>
    <xf numFmtId="0" fontId="26" fillId="0" borderId="70" xfId="0" applyFont="1" applyBorder="1" applyAlignment="1">
      <alignment/>
    </xf>
    <xf numFmtId="2" fontId="26" fillId="0" borderId="58" xfId="0" applyNumberFormat="1" applyFont="1" applyBorder="1" applyAlignment="1">
      <alignment horizontal="center"/>
    </xf>
    <xf numFmtId="182" fontId="24" fillId="0" borderId="71" xfId="0" applyNumberFormat="1" applyFont="1" applyBorder="1" applyAlignment="1">
      <alignment horizontal="center"/>
    </xf>
    <xf numFmtId="2" fontId="26" fillId="0" borderId="71" xfId="0" applyNumberFormat="1" applyFont="1" applyBorder="1" applyAlignment="1">
      <alignment horizontal="center"/>
    </xf>
    <xf numFmtId="0" fontId="0" fillId="0" borderId="61" xfId="0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188" fontId="0" fillId="0" borderId="59" xfId="0" applyNumberFormat="1" applyBorder="1" applyAlignment="1" applyProtection="1">
      <alignment horizontal="center"/>
      <protection hidden="1"/>
    </xf>
    <xf numFmtId="188" fontId="0" fillId="0" borderId="60" xfId="0" applyNumberFormat="1" applyBorder="1" applyAlignment="1" applyProtection="1">
      <alignment horizontal="center"/>
      <protection hidden="1"/>
    </xf>
    <xf numFmtId="188" fontId="0" fillId="0" borderId="60" xfId="0" applyNumberFormat="1" applyBorder="1" applyAlignment="1" applyProtection="1">
      <alignment/>
      <protection hidden="1"/>
    </xf>
    <xf numFmtId="188" fontId="0" fillId="0" borderId="66" xfId="0" applyNumberFormat="1" applyBorder="1" applyAlignment="1" applyProtection="1">
      <alignment/>
      <protection hidden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6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color indexed="63"/>
      </font>
      <fill>
        <patternFill patternType="solid">
          <fgColor indexed="13"/>
          <bgColor indexed="51"/>
        </patternFill>
      </fill>
    </dxf>
    <dxf>
      <font>
        <b val="0"/>
        <i val="0"/>
        <color indexed="63"/>
      </font>
      <fill>
        <patternFill patternType="solid">
          <fgColor indexed="16"/>
          <bgColor indexed="10"/>
        </patternFill>
      </fill>
    </dxf>
    <dxf>
      <font>
        <b val="0"/>
        <i val="0"/>
        <color rgb="FF000000"/>
      </font>
      <fill>
        <patternFill patternType="solid">
          <fgColor rgb="FFDF0000"/>
          <bgColor rgb="FFFF0000"/>
        </patternFill>
      </fill>
      <border/>
    </dxf>
    <dxf>
      <font>
        <b val="0"/>
        <i val="0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5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.00390625" style="0" customWidth="1"/>
    <col min="2" max="2" width="7.421875" style="0" customWidth="1"/>
    <col min="3" max="3" width="27.57421875" style="0" customWidth="1"/>
    <col min="4" max="4" width="15.00390625" style="0" customWidth="1"/>
    <col min="5" max="5" width="19.7109375" style="0" customWidth="1"/>
    <col min="6" max="6" width="3.14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" ht="12.75">
      <c r="A2">
        <v>0</v>
      </c>
      <c r="B2">
        <v>0</v>
      </c>
    </row>
    <row r="3" spans="1:5" ht="12.75">
      <c r="A3">
        <v>1001</v>
      </c>
      <c r="B3">
        <v>1</v>
      </c>
      <c r="C3" t="s">
        <v>6</v>
      </c>
      <c r="D3">
        <v>1</v>
      </c>
      <c r="E3">
        <v>1221</v>
      </c>
    </row>
    <row r="4" spans="1:5" ht="12.75">
      <c r="A4">
        <v>1002</v>
      </c>
      <c r="B4">
        <v>1</v>
      </c>
      <c r="C4" t="s">
        <v>6</v>
      </c>
      <c r="D4">
        <v>2</v>
      </c>
      <c r="E4">
        <v>1221</v>
      </c>
    </row>
    <row r="5" spans="1:5" ht="12.75">
      <c r="A5">
        <v>1003</v>
      </c>
      <c r="B5">
        <v>1</v>
      </c>
      <c r="C5" t="s">
        <v>6</v>
      </c>
      <c r="D5">
        <v>3</v>
      </c>
      <c r="E5">
        <v>1265</v>
      </c>
    </row>
    <row r="6" spans="1:5" ht="12.75">
      <c r="A6">
        <v>1004</v>
      </c>
      <c r="B6">
        <v>1</v>
      </c>
      <c r="C6" t="s">
        <v>6</v>
      </c>
      <c r="D6">
        <v>4</v>
      </c>
      <c r="E6">
        <v>1265</v>
      </c>
    </row>
    <row r="7" spans="1:5" ht="12.75">
      <c r="A7">
        <v>1005</v>
      </c>
      <c r="B7">
        <v>1</v>
      </c>
      <c r="C7" t="s">
        <v>6</v>
      </c>
      <c r="D7">
        <v>5</v>
      </c>
      <c r="E7">
        <v>1265</v>
      </c>
    </row>
    <row r="8" spans="1:5" ht="12.75">
      <c r="A8">
        <v>1006</v>
      </c>
      <c r="B8">
        <v>1</v>
      </c>
      <c r="C8" t="s">
        <v>6</v>
      </c>
      <c r="D8">
        <v>6</v>
      </c>
      <c r="E8">
        <v>1265</v>
      </c>
    </row>
    <row r="9" spans="1:5" ht="12.75">
      <c r="A9">
        <v>1007</v>
      </c>
      <c r="B9">
        <v>1</v>
      </c>
      <c r="C9" t="s">
        <v>6</v>
      </c>
      <c r="D9">
        <v>7</v>
      </c>
      <c r="E9">
        <v>1308</v>
      </c>
    </row>
    <row r="10" spans="1:5" ht="12.75">
      <c r="A10">
        <v>1008</v>
      </c>
      <c r="B10">
        <v>1</v>
      </c>
      <c r="C10" t="s">
        <v>6</v>
      </c>
      <c r="D10">
        <v>8</v>
      </c>
      <c r="E10">
        <v>1265</v>
      </c>
    </row>
    <row r="11" spans="1:5" ht="12.75">
      <c r="A11">
        <v>1009</v>
      </c>
      <c r="B11">
        <v>1</v>
      </c>
      <c r="C11" t="s">
        <v>6</v>
      </c>
      <c r="D11">
        <v>9</v>
      </c>
      <c r="E11">
        <v>1308</v>
      </c>
    </row>
    <row r="12" spans="1:5" ht="12.75">
      <c r="A12">
        <v>1010</v>
      </c>
      <c r="B12">
        <v>1</v>
      </c>
      <c r="C12" t="s">
        <v>6</v>
      </c>
      <c r="D12">
        <v>10</v>
      </c>
      <c r="E12">
        <v>1308</v>
      </c>
    </row>
    <row r="13" spans="1:5" ht="12.75">
      <c r="A13">
        <v>2001</v>
      </c>
      <c r="B13">
        <v>2</v>
      </c>
      <c r="C13" t="s">
        <v>7</v>
      </c>
      <c r="D13">
        <v>1</v>
      </c>
      <c r="E13">
        <v>3860</v>
      </c>
    </row>
    <row r="14" spans="1:5" ht="12.75">
      <c r="A14">
        <v>2002</v>
      </c>
      <c r="B14">
        <v>2</v>
      </c>
      <c r="C14" t="s">
        <v>7</v>
      </c>
      <c r="D14">
        <v>2</v>
      </c>
      <c r="E14">
        <v>3509</v>
      </c>
    </row>
    <row r="15" spans="1:5" ht="12.75">
      <c r="A15">
        <v>2003</v>
      </c>
      <c r="B15">
        <v>2</v>
      </c>
      <c r="C15" t="s">
        <v>7</v>
      </c>
      <c r="D15">
        <v>3</v>
      </c>
      <c r="E15">
        <v>3860</v>
      </c>
    </row>
    <row r="16" spans="1:5" ht="12.75">
      <c r="A16">
        <v>2004</v>
      </c>
      <c r="B16">
        <v>2</v>
      </c>
      <c r="C16" t="s">
        <v>7</v>
      </c>
      <c r="D16">
        <v>4</v>
      </c>
      <c r="E16">
        <v>3860</v>
      </c>
    </row>
    <row r="17" spans="1:5" ht="12.75">
      <c r="A17">
        <v>2005</v>
      </c>
      <c r="B17">
        <v>2</v>
      </c>
      <c r="C17" t="s">
        <v>7</v>
      </c>
      <c r="D17">
        <v>5</v>
      </c>
      <c r="E17">
        <v>3860</v>
      </c>
    </row>
    <row r="18" spans="1:5" ht="12.75">
      <c r="A18">
        <v>2006</v>
      </c>
      <c r="B18">
        <v>2</v>
      </c>
      <c r="C18" t="s">
        <v>7</v>
      </c>
      <c r="D18">
        <v>6</v>
      </c>
      <c r="E18">
        <v>3860</v>
      </c>
    </row>
    <row r="19" spans="1:5" ht="12.75">
      <c r="A19">
        <v>2007</v>
      </c>
      <c r="B19">
        <v>2</v>
      </c>
      <c r="C19" t="s">
        <v>7</v>
      </c>
      <c r="D19">
        <v>7</v>
      </c>
      <c r="E19">
        <v>3860</v>
      </c>
    </row>
    <row r="20" spans="1:5" ht="12.75">
      <c r="A20">
        <v>2008</v>
      </c>
      <c r="B20">
        <v>2</v>
      </c>
      <c r="C20" t="s">
        <v>7</v>
      </c>
      <c r="D20">
        <v>8</v>
      </c>
      <c r="E20">
        <v>3860</v>
      </c>
    </row>
    <row r="21" spans="1:5" ht="12.75">
      <c r="A21">
        <v>2009</v>
      </c>
      <c r="B21">
        <v>2</v>
      </c>
      <c r="C21" t="s">
        <v>7</v>
      </c>
      <c r="D21">
        <v>9</v>
      </c>
      <c r="E21">
        <v>3860</v>
      </c>
    </row>
    <row r="22" spans="1:5" ht="12.75">
      <c r="A22">
        <v>2010</v>
      </c>
      <c r="B22">
        <v>2</v>
      </c>
      <c r="C22" t="s">
        <v>7</v>
      </c>
      <c r="D22">
        <v>10</v>
      </c>
      <c r="E22">
        <v>3860</v>
      </c>
    </row>
    <row r="23" spans="1:5" ht="12.75">
      <c r="A23">
        <v>3001</v>
      </c>
      <c r="B23">
        <v>3</v>
      </c>
      <c r="C23" t="s">
        <v>8</v>
      </c>
      <c r="D23">
        <v>1</v>
      </c>
      <c r="E23">
        <v>8928</v>
      </c>
    </row>
    <row r="24" spans="1:5" ht="12.75">
      <c r="A24">
        <v>3002</v>
      </c>
      <c r="B24">
        <v>3</v>
      </c>
      <c r="C24" t="s">
        <v>8</v>
      </c>
      <c r="D24">
        <v>2</v>
      </c>
      <c r="E24">
        <v>8928</v>
      </c>
    </row>
    <row r="25" spans="1:5" ht="12.75">
      <c r="A25">
        <v>3003</v>
      </c>
      <c r="B25">
        <v>3</v>
      </c>
      <c r="C25" t="s">
        <v>8</v>
      </c>
      <c r="D25">
        <v>3</v>
      </c>
      <c r="E25">
        <v>8928</v>
      </c>
    </row>
    <row r="26" spans="1:5" ht="12.75">
      <c r="A26">
        <v>3004</v>
      </c>
      <c r="B26">
        <v>3</v>
      </c>
      <c r="C26" t="s">
        <v>8</v>
      </c>
      <c r="D26">
        <v>4</v>
      </c>
      <c r="E26">
        <v>8928</v>
      </c>
    </row>
    <row r="27" spans="1:5" ht="12.75">
      <c r="A27">
        <v>3005</v>
      </c>
      <c r="B27">
        <v>3</v>
      </c>
      <c r="C27" t="s">
        <v>8</v>
      </c>
      <c r="D27">
        <v>5</v>
      </c>
      <c r="E27">
        <v>8928</v>
      </c>
    </row>
    <row r="28" spans="1:5" ht="12.75">
      <c r="A28">
        <v>4001</v>
      </c>
      <c r="B28">
        <v>4</v>
      </c>
      <c r="C28" t="s">
        <v>9</v>
      </c>
      <c r="D28">
        <v>1</v>
      </c>
      <c r="E28">
        <v>10977</v>
      </c>
    </row>
    <row r="29" spans="1:5" ht="12.75">
      <c r="A29">
        <v>4002</v>
      </c>
      <c r="B29">
        <v>4</v>
      </c>
      <c r="C29" t="s">
        <v>9</v>
      </c>
      <c r="D29">
        <v>2</v>
      </c>
      <c r="E29">
        <v>10977</v>
      </c>
    </row>
    <row r="30" spans="1:5" ht="12.75">
      <c r="A30">
        <v>5001</v>
      </c>
      <c r="B30">
        <v>5</v>
      </c>
      <c r="C30" t="s">
        <v>10</v>
      </c>
      <c r="D30">
        <v>1</v>
      </c>
      <c r="E30">
        <v>1465</v>
      </c>
    </row>
    <row r="31" spans="1:5" ht="12.75">
      <c r="A31">
        <v>5002</v>
      </c>
      <c r="B31">
        <v>5</v>
      </c>
      <c r="C31" t="s">
        <v>10</v>
      </c>
      <c r="D31">
        <v>2</v>
      </c>
      <c r="E31">
        <v>1465</v>
      </c>
    </row>
    <row r="32" spans="1:5" ht="12.75">
      <c r="A32">
        <v>5003</v>
      </c>
      <c r="B32">
        <v>5</v>
      </c>
      <c r="C32" t="s">
        <v>10</v>
      </c>
      <c r="D32">
        <v>3</v>
      </c>
      <c r="E32">
        <v>1416</v>
      </c>
    </row>
    <row r="33" spans="1:5" ht="12.75">
      <c r="A33">
        <v>5004</v>
      </c>
      <c r="B33">
        <v>5</v>
      </c>
      <c r="C33" t="s">
        <v>10</v>
      </c>
      <c r="D33">
        <v>4</v>
      </c>
      <c r="E33">
        <v>1416</v>
      </c>
    </row>
    <row r="34" spans="1:5" ht="12.75">
      <c r="A34">
        <v>5005</v>
      </c>
      <c r="B34">
        <v>5</v>
      </c>
      <c r="C34" t="s">
        <v>10</v>
      </c>
      <c r="D34">
        <v>5</v>
      </c>
      <c r="E34">
        <v>1416</v>
      </c>
    </row>
    <row r="35" spans="1:5" ht="12.75">
      <c r="A35">
        <v>5006</v>
      </c>
      <c r="B35">
        <v>5</v>
      </c>
      <c r="C35" t="s">
        <v>10</v>
      </c>
      <c r="D35">
        <v>6</v>
      </c>
      <c r="E35">
        <v>1416</v>
      </c>
    </row>
    <row r="36" spans="1:5" ht="12.75">
      <c r="A36">
        <v>5007</v>
      </c>
      <c r="B36">
        <v>5</v>
      </c>
      <c r="C36" t="s">
        <v>10</v>
      </c>
      <c r="D36">
        <v>7</v>
      </c>
      <c r="E36">
        <v>1416</v>
      </c>
    </row>
    <row r="37" spans="1:5" ht="12.75">
      <c r="A37">
        <v>5008</v>
      </c>
      <c r="B37">
        <v>5</v>
      </c>
      <c r="C37" t="s">
        <v>10</v>
      </c>
      <c r="D37">
        <v>8</v>
      </c>
      <c r="E37">
        <v>1465</v>
      </c>
    </row>
    <row r="38" spans="1:5" ht="12.75">
      <c r="A38">
        <v>5009</v>
      </c>
      <c r="B38">
        <v>5</v>
      </c>
      <c r="C38" t="s">
        <v>10</v>
      </c>
      <c r="D38">
        <v>9</v>
      </c>
      <c r="E38">
        <v>1465</v>
      </c>
    </row>
    <row r="39" spans="1:5" ht="12.75">
      <c r="A39">
        <v>5010</v>
      </c>
      <c r="B39">
        <v>5</v>
      </c>
      <c r="C39" t="s">
        <v>10</v>
      </c>
      <c r="D39">
        <v>10</v>
      </c>
      <c r="E39">
        <v>1465</v>
      </c>
    </row>
    <row r="40" spans="1:5" ht="12.75">
      <c r="A40">
        <v>5011</v>
      </c>
      <c r="B40">
        <v>5</v>
      </c>
      <c r="C40" t="s">
        <v>10</v>
      </c>
      <c r="D40">
        <v>11</v>
      </c>
      <c r="E40">
        <v>1465</v>
      </c>
    </row>
    <row r="41" spans="1:5" ht="12.75">
      <c r="A41">
        <v>5012</v>
      </c>
      <c r="B41">
        <v>5</v>
      </c>
      <c r="C41" t="s">
        <v>10</v>
      </c>
      <c r="D41">
        <v>12</v>
      </c>
      <c r="E41">
        <v>1465</v>
      </c>
    </row>
    <row r="42" spans="1:5" ht="12.75">
      <c r="A42">
        <v>5013</v>
      </c>
      <c r="B42">
        <v>5</v>
      </c>
      <c r="C42" t="s">
        <v>10</v>
      </c>
      <c r="D42">
        <v>13</v>
      </c>
      <c r="E42">
        <v>1465</v>
      </c>
    </row>
    <row r="43" spans="1:5" ht="12.75">
      <c r="A43">
        <v>5014</v>
      </c>
      <c r="B43">
        <v>5</v>
      </c>
      <c r="C43" t="s">
        <v>10</v>
      </c>
      <c r="D43">
        <v>14</v>
      </c>
      <c r="E43">
        <v>1367</v>
      </c>
    </row>
    <row r="44" spans="1:5" ht="12.75">
      <c r="A44">
        <v>5015</v>
      </c>
      <c r="B44">
        <v>5</v>
      </c>
      <c r="C44" t="s">
        <v>10</v>
      </c>
      <c r="D44">
        <v>15</v>
      </c>
      <c r="E44">
        <v>1367</v>
      </c>
    </row>
    <row r="45" spans="1:5" ht="12.75">
      <c r="A45">
        <v>5016</v>
      </c>
      <c r="B45">
        <v>5</v>
      </c>
      <c r="C45" t="s">
        <v>10</v>
      </c>
      <c r="D45">
        <v>16</v>
      </c>
      <c r="E45">
        <v>1367</v>
      </c>
    </row>
    <row r="46" spans="1:5" ht="12.75">
      <c r="A46">
        <v>5017</v>
      </c>
      <c r="B46">
        <v>5</v>
      </c>
      <c r="C46" t="s">
        <v>10</v>
      </c>
      <c r="D46">
        <v>17</v>
      </c>
      <c r="E46">
        <v>1367</v>
      </c>
    </row>
    <row r="47" spans="1:5" ht="12.75">
      <c r="A47">
        <v>5018</v>
      </c>
      <c r="B47">
        <v>5</v>
      </c>
      <c r="C47" t="s">
        <v>10</v>
      </c>
      <c r="D47">
        <v>18</v>
      </c>
      <c r="E47">
        <v>1416</v>
      </c>
    </row>
    <row r="48" spans="1:5" ht="12.75">
      <c r="A48">
        <v>6001</v>
      </c>
      <c r="B48">
        <v>6</v>
      </c>
      <c r="C48" t="s">
        <v>11</v>
      </c>
      <c r="D48">
        <v>1</v>
      </c>
      <c r="E48">
        <v>2263</v>
      </c>
    </row>
    <row r="49" spans="1:5" ht="12.75">
      <c r="A49">
        <v>6002</v>
      </c>
      <c r="B49">
        <v>6</v>
      </c>
      <c r="C49" t="s">
        <v>11</v>
      </c>
      <c r="D49">
        <v>2</v>
      </c>
      <c r="E49">
        <v>2263</v>
      </c>
    </row>
    <row r="50" spans="1:5" ht="12.75">
      <c r="A50">
        <v>6003</v>
      </c>
      <c r="B50">
        <v>6</v>
      </c>
      <c r="C50" t="s">
        <v>11</v>
      </c>
      <c r="D50">
        <v>3</v>
      </c>
      <c r="E50">
        <v>2198</v>
      </c>
    </row>
    <row r="51" spans="1:5" ht="12.75">
      <c r="A51">
        <v>6004</v>
      </c>
      <c r="B51">
        <v>6</v>
      </c>
      <c r="C51" t="s">
        <v>11</v>
      </c>
      <c r="D51">
        <v>4</v>
      </c>
      <c r="E51">
        <v>1875</v>
      </c>
    </row>
    <row r="52" spans="1:5" ht="12.75">
      <c r="A52">
        <v>6005</v>
      </c>
      <c r="B52">
        <v>6</v>
      </c>
      <c r="C52" t="s">
        <v>11</v>
      </c>
      <c r="D52">
        <v>5</v>
      </c>
      <c r="E52">
        <v>2263</v>
      </c>
    </row>
    <row r="53" spans="1:5" ht="12.75">
      <c r="A53">
        <v>6006</v>
      </c>
      <c r="B53">
        <v>6</v>
      </c>
      <c r="C53" t="s">
        <v>11</v>
      </c>
      <c r="D53">
        <v>6</v>
      </c>
      <c r="E53">
        <v>2263</v>
      </c>
    </row>
    <row r="54" spans="1:5" ht="12.75">
      <c r="A54">
        <v>6007</v>
      </c>
      <c r="B54">
        <v>6</v>
      </c>
      <c r="C54" t="s">
        <v>11</v>
      </c>
      <c r="D54">
        <v>7</v>
      </c>
      <c r="E54">
        <v>2198</v>
      </c>
    </row>
    <row r="55" spans="1:5" ht="12.75">
      <c r="A55">
        <v>6008</v>
      </c>
      <c r="B55">
        <v>6</v>
      </c>
      <c r="C55" t="s">
        <v>11</v>
      </c>
      <c r="D55">
        <v>8</v>
      </c>
      <c r="E55">
        <v>2198</v>
      </c>
    </row>
    <row r="56" spans="1:5" ht="12.75">
      <c r="A56">
        <v>6009</v>
      </c>
      <c r="B56">
        <v>6</v>
      </c>
      <c r="C56" t="s">
        <v>11</v>
      </c>
      <c r="D56">
        <v>9</v>
      </c>
      <c r="E56">
        <v>2263</v>
      </c>
    </row>
    <row r="57" spans="1:5" ht="12.75">
      <c r="A57">
        <v>6010</v>
      </c>
      <c r="B57">
        <v>6</v>
      </c>
      <c r="C57" t="s">
        <v>11</v>
      </c>
      <c r="D57">
        <v>10</v>
      </c>
      <c r="E57">
        <v>1810</v>
      </c>
    </row>
    <row r="58" spans="1:5" ht="12.75">
      <c r="A58">
        <v>6011</v>
      </c>
      <c r="B58">
        <v>6</v>
      </c>
      <c r="C58" t="s">
        <v>11</v>
      </c>
      <c r="D58">
        <v>11</v>
      </c>
      <c r="E58">
        <v>1810</v>
      </c>
    </row>
    <row r="59" spans="1:5" ht="12.75">
      <c r="A59">
        <v>6012</v>
      </c>
      <c r="B59">
        <v>6</v>
      </c>
      <c r="C59" t="s">
        <v>11</v>
      </c>
      <c r="D59">
        <v>12</v>
      </c>
      <c r="E59">
        <v>1810</v>
      </c>
    </row>
    <row r="60" spans="1:5" ht="12.75">
      <c r="A60">
        <v>6013</v>
      </c>
      <c r="B60">
        <v>6</v>
      </c>
      <c r="C60" t="s">
        <v>11</v>
      </c>
      <c r="D60">
        <v>13</v>
      </c>
      <c r="E60">
        <v>1810</v>
      </c>
    </row>
    <row r="61" spans="1:5" ht="12.75">
      <c r="A61">
        <v>6014</v>
      </c>
      <c r="B61">
        <v>6</v>
      </c>
      <c r="C61" t="s">
        <v>11</v>
      </c>
      <c r="D61">
        <v>14</v>
      </c>
      <c r="E61">
        <v>1810</v>
      </c>
    </row>
    <row r="62" spans="1:5" ht="12.75">
      <c r="A62">
        <v>6015</v>
      </c>
      <c r="B62">
        <v>6</v>
      </c>
      <c r="C62" t="s">
        <v>11</v>
      </c>
      <c r="D62">
        <v>15</v>
      </c>
      <c r="E62">
        <v>1810</v>
      </c>
    </row>
    <row r="63" spans="1:5" ht="12.75">
      <c r="A63">
        <v>6016</v>
      </c>
      <c r="B63">
        <v>6</v>
      </c>
      <c r="C63" t="s">
        <v>11</v>
      </c>
      <c r="D63">
        <v>16</v>
      </c>
      <c r="E63">
        <v>1810</v>
      </c>
    </row>
    <row r="64" spans="1:5" ht="12.75">
      <c r="A64">
        <v>6017</v>
      </c>
      <c r="B64">
        <v>6</v>
      </c>
      <c r="C64" t="s">
        <v>11</v>
      </c>
      <c r="D64">
        <v>17</v>
      </c>
      <c r="E64">
        <v>1810</v>
      </c>
    </row>
    <row r="65" spans="1:5" ht="12.75">
      <c r="A65">
        <v>6018</v>
      </c>
      <c r="B65">
        <v>6</v>
      </c>
      <c r="C65" t="s">
        <v>11</v>
      </c>
      <c r="D65">
        <v>18</v>
      </c>
      <c r="E65">
        <v>1810</v>
      </c>
    </row>
    <row r="66" spans="1:5" ht="12.75">
      <c r="A66">
        <v>6019</v>
      </c>
      <c r="B66">
        <v>6</v>
      </c>
      <c r="C66" t="s">
        <v>11</v>
      </c>
      <c r="D66">
        <v>19</v>
      </c>
      <c r="E66">
        <v>1810</v>
      </c>
    </row>
    <row r="67" spans="1:5" ht="12.75">
      <c r="A67">
        <v>6020</v>
      </c>
      <c r="B67">
        <v>6</v>
      </c>
      <c r="C67" t="s">
        <v>11</v>
      </c>
      <c r="D67">
        <v>20</v>
      </c>
      <c r="E67">
        <v>1810</v>
      </c>
    </row>
    <row r="68" spans="1:5" ht="12.75">
      <c r="A68">
        <v>6021</v>
      </c>
      <c r="B68">
        <v>6</v>
      </c>
      <c r="C68" t="s">
        <v>11</v>
      </c>
      <c r="D68">
        <v>21</v>
      </c>
      <c r="E68">
        <v>1810</v>
      </c>
    </row>
    <row r="69" spans="1:5" ht="12.75">
      <c r="A69">
        <v>7002</v>
      </c>
      <c r="B69">
        <v>7</v>
      </c>
      <c r="C69" t="s">
        <v>12</v>
      </c>
      <c r="D69">
        <v>2</v>
      </c>
      <c r="E69">
        <v>867</v>
      </c>
    </row>
    <row r="70" spans="1:5" ht="12.75">
      <c r="A70">
        <v>7004</v>
      </c>
      <c r="B70">
        <v>7</v>
      </c>
      <c r="C70" t="s">
        <v>12</v>
      </c>
      <c r="D70">
        <v>4</v>
      </c>
      <c r="E70">
        <v>805</v>
      </c>
    </row>
    <row r="71" spans="1:5" ht="12.75">
      <c r="A71">
        <v>7005</v>
      </c>
      <c r="B71">
        <v>7</v>
      </c>
      <c r="C71" t="s">
        <v>12</v>
      </c>
      <c r="D71">
        <v>5</v>
      </c>
      <c r="E71">
        <v>1053</v>
      </c>
    </row>
    <row r="72" spans="1:5" ht="12.75">
      <c r="A72">
        <v>7009</v>
      </c>
      <c r="B72">
        <v>7</v>
      </c>
      <c r="C72" t="s">
        <v>12</v>
      </c>
      <c r="D72">
        <v>9</v>
      </c>
      <c r="E72">
        <v>1053</v>
      </c>
    </row>
    <row r="73" spans="1:5" ht="12.75">
      <c r="A73">
        <v>7010</v>
      </c>
      <c r="B73">
        <v>7</v>
      </c>
      <c r="C73" t="s">
        <v>12</v>
      </c>
      <c r="D73">
        <v>10</v>
      </c>
      <c r="E73">
        <v>1022</v>
      </c>
    </row>
    <row r="74" spans="1:5" ht="12.75">
      <c r="A74">
        <v>7011</v>
      </c>
      <c r="B74">
        <v>7</v>
      </c>
      <c r="C74" t="s">
        <v>12</v>
      </c>
      <c r="D74">
        <v>11</v>
      </c>
      <c r="E74">
        <v>1084</v>
      </c>
    </row>
    <row r="75" spans="1:5" ht="12.75">
      <c r="A75">
        <v>7012</v>
      </c>
      <c r="B75">
        <v>7</v>
      </c>
      <c r="C75" t="s">
        <v>12</v>
      </c>
      <c r="D75">
        <v>12</v>
      </c>
      <c r="E75">
        <v>898</v>
      </c>
    </row>
    <row r="76" spans="1:5" ht="12.75">
      <c r="A76">
        <v>7013</v>
      </c>
      <c r="B76">
        <v>7</v>
      </c>
      <c r="C76" t="s">
        <v>12</v>
      </c>
      <c r="D76">
        <v>13</v>
      </c>
      <c r="E76">
        <v>898</v>
      </c>
    </row>
    <row r="77" spans="1:5" ht="12.75">
      <c r="A77">
        <v>7014</v>
      </c>
      <c r="B77">
        <v>7</v>
      </c>
      <c r="C77" t="s">
        <v>12</v>
      </c>
      <c r="D77">
        <v>14</v>
      </c>
      <c r="E77">
        <v>805</v>
      </c>
    </row>
    <row r="78" spans="1:5" ht="12.75">
      <c r="A78">
        <v>8002</v>
      </c>
      <c r="B78">
        <v>8</v>
      </c>
      <c r="C78" t="s">
        <v>13</v>
      </c>
      <c r="D78">
        <v>2</v>
      </c>
      <c r="E78">
        <v>3014</v>
      </c>
    </row>
    <row r="79" spans="1:5" ht="12.75">
      <c r="A79">
        <v>8003</v>
      </c>
      <c r="B79">
        <v>8</v>
      </c>
      <c r="C79" t="s">
        <v>13</v>
      </c>
      <c r="D79">
        <v>3</v>
      </c>
      <c r="E79">
        <v>3014</v>
      </c>
    </row>
    <row r="80" spans="1:5" ht="12.75">
      <c r="A80">
        <v>8004</v>
      </c>
      <c r="B80">
        <v>8</v>
      </c>
      <c r="C80" t="s">
        <v>13</v>
      </c>
      <c r="D80">
        <v>4</v>
      </c>
      <c r="E80">
        <v>2703</v>
      </c>
    </row>
    <row r="81" spans="1:5" ht="12.75">
      <c r="A81">
        <v>8005</v>
      </c>
      <c r="B81">
        <v>8</v>
      </c>
      <c r="C81" t="s">
        <v>13</v>
      </c>
      <c r="D81">
        <v>5</v>
      </c>
      <c r="E81">
        <v>2703</v>
      </c>
    </row>
    <row r="82" spans="1:5" ht="12.75">
      <c r="A82">
        <v>8006</v>
      </c>
      <c r="B82">
        <v>8</v>
      </c>
      <c r="C82" t="s">
        <v>13</v>
      </c>
      <c r="D82">
        <v>6</v>
      </c>
      <c r="E82">
        <v>3014</v>
      </c>
    </row>
    <row r="83" spans="1:5" ht="12.75">
      <c r="A83">
        <v>8007</v>
      </c>
      <c r="B83">
        <v>8</v>
      </c>
      <c r="C83" t="s">
        <v>13</v>
      </c>
      <c r="D83">
        <v>7</v>
      </c>
      <c r="E83">
        <v>2703</v>
      </c>
    </row>
    <row r="84" spans="1:5" ht="12.75">
      <c r="A84">
        <v>8008</v>
      </c>
      <c r="B84">
        <v>8</v>
      </c>
      <c r="C84" t="s">
        <v>13</v>
      </c>
      <c r="D84">
        <v>8</v>
      </c>
      <c r="E84">
        <v>3014</v>
      </c>
    </row>
    <row r="85" spans="1:5" ht="12.75">
      <c r="A85">
        <v>8009</v>
      </c>
      <c r="B85">
        <v>8</v>
      </c>
      <c r="C85" t="s">
        <v>13</v>
      </c>
      <c r="D85">
        <v>9</v>
      </c>
      <c r="E85">
        <v>3118</v>
      </c>
    </row>
    <row r="86" spans="1:5" ht="12.75">
      <c r="A86">
        <v>8010</v>
      </c>
      <c r="B86">
        <v>8</v>
      </c>
      <c r="C86" t="s">
        <v>13</v>
      </c>
      <c r="D86">
        <v>10</v>
      </c>
      <c r="E86">
        <v>3118</v>
      </c>
    </row>
    <row r="87" spans="1:5" ht="12.75">
      <c r="A87">
        <v>8011</v>
      </c>
      <c r="B87">
        <v>8</v>
      </c>
      <c r="C87" t="s">
        <v>13</v>
      </c>
      <c r="D87">
        <v>11</v>
      </c>
      <c r="E87">
        <v>3118</v>
      </c>
    </row>
    <row r="88" spans="1:5" ht="12.75">
      <c r="A88">
        <v>9002</v>
      </c>
      <c r="B88">
        <v>9</v>
      </c>
      <c r="C88" t="s">
        <v>14</v>
      </c>
      <c r="D88">
        <v>2</v>
      </c>
      <c r="E88">
        <v>4129</v>
      </c>
    </row>
    <row r="89" spans="1:5" ht="12.75">
      <c r="A89">
        <v>9003</v>
      </c>
      <c r="B89">
        <v>9</v>
      </c>
      <c r="C89" t="s">
        <v>14</v>
      </c>
      <c r="D89">
        <v>3</v>
      </c>
      <c r="E89">
        <v>4129</v>
      </c>
    </row>
    <row r="90" spans="1:5" ht="12.75">
      <c r="A90">
        <v>9004</v>
      </c>
      <c r="B90">
        <v>9</v>
      </c>
      <c r="C90" t="s">
        <v>14</v>
      </c>
      <c r="D90">
        <v>4</v>
      </c>
      <c r="E90">
        <v>4129</v>
      </c>
    </row>
    <row r="91" spans="1:5" ht="12.75">
      <c r="A91">
        <v>9005</v>
      </c>
      <c r="B91">
        <v>9</v>
      </c>
      <c r="C91" t="s">
        <v>14</v>
      </c>
      <c r="D91">
        <v>5</v>
      </c>
      <c r="E91">
        <v>4129</v>
      </c>
    </row>
    <row r="92" spans="1:5" ht="12.75">
      <c r="A92">
        <v>9006</v>
      </c>
      <c r="B92">
        <v>9</v>
      </c>
      <c r="C92" t="s">
        <v>14</v>
      </c>
      <c r="D92">
        <v>6</v>
      </c>
      <c r="E92">
        <v>4129</v>
      </c>
    </row>
    <row r="93" spans="1:5" ht="12.75">
      <c r="A93">
        <v>9007</v>
      </c>
      <c r="B93">
        <v>9</v>
      </c>
      <c r="C93" t="s">
        <v>14</v>
      </c>
      <c r="D93">
        <v>7</v>
      </c>
      <c r="E93">
        <v>4129</v>
      </c>
    </row>
    <row r="94" spans="1:5" ht="12.75">
      <c r="A94">
        <v>9008</v>
      </c>
      <c r="B94">
        <v>9</v>
      </c>
      <c r="C94" t="s">
        <v>14</v>
      </c>
      <c r="D94">
        <v>8</v>
      </c>
      <c r="E94">
        <v>4129</v>
      </c>
    </row>
    <row r="95" spans="1:5" ht="12.75">
      <c r="A95">
        <v>9009</v>
      </c>
      <c r="B95">
        <v>9</v>
      </c>
      <c r="C95" t="s">
        <v>14</v>
      </c>
      <c r="D95">
        <v>9</v>
      </c>
      <c r="E95">
        <v>4129</v>
      </c>
    </row>
    <row r="96" spans="1:5" ht="12.75">
      <c r="A96">
        <v>9010</v>
      </c>
      <c r="B96">
        <v>9</v>
      </c>
      <c r="C96" t="s">
        <v>14</v>
      </c>
      <c r="D96">
        <v>10</v>
      </c>
      <c r="E96">
        <v>4129</v>
      </c>
    </row>
    <row r="97" spans="1:5" ht="12.75">
      <c r="A97">
        <v>9011</v>
      </c>
      <c r="B97">
        <v>9</v>
      </c>
      <c r="C97" t="s">
        <v>14</v>
      </c>
      <c r="D97">
        <v>11</v>
      </c>
      <c r="E97">
        <v>4129</v>
      </c>
    </row>
    <row r="98" spans="1:5" ht="12.75">
      <c r="A98">
        <v>10001</v>
      </c>
      <c r="B98">
        <v>10</v>
      </c>
      <c r="C98" t="s">
        <v>15</v>
      </c>
      <c r="D98">
        <v>1</v>
      </c>
      <c r="E98">
        <v>4573</v>
      </c>
    </row>
    <row r="99" spans="1:5" ht="12.75">
      <c r="A99">
        <v>10002</v>
      </c>
      <c r="B99">
        <v>10</v>
      </c>
      <c r="C99" t="s">
        <v>15</v>
      </c>
      <c r="D99">
        <v>2</v>
      </c>
      <c r="E99">
        <v>4573</v>
      </c>
    </row>
    <row r="100" spans="1:5" ht="12.75">
      <c r="A100">
        <v>10003</v>
      </c>
      <c r="B100">
        <v>10</v>
      </c>
      <c r="C100" t="s">
        <v>15</v>
      </c>
      <c r="D100">
        <v>3</v>
      </c>
      <c r="E100">
        <v>4573</v>
      </c>
    </row>
    <row r="101" spans="1:5" ht="12.75">
      <c r="A101">
        <v>10004</v>
      </c>
      <c r="B101">
        <v>10</v>
      </c>
      <c r="C101" t="s">
        <v>15</v>
      </c>
      <c r="D101">
        <v>4</v>
      </c>
      <c r="E101">
        <v>4573</v>
      </c>
    </row>
    <row r="102" spans="1:5" ht="12.75">
      <c r="A102">
        <v>10005</v>
      </c>
      <c r="B102">
        <v>10</v>
      </c>
      <c r="C102" t="s">
        <v>15</v>
      </c>
      <c r="D102">
        <v>5</v>
      </c>
      <c r="E102">
        <v>4439</v>
      </c>
    </row>
    <row r="103" spans="1:5" ht="12.75">
      <c r="A103">
        <v>10006</v>
      </c>
      <c r="B103">
        <v>10</v>
      </c>
      <c r="C103" t="s">
        <v>15</v>
      </c>
      <c r="D103">
        <v>6</v>
      </c>
      <c r="E103">
        <v>4573</v>
      </c>
    </row>
    <row r="104" spans="1:5" ht="12.75">
      <c r="A104">
        <v>10007</v>
      </c>
      <c r="B104">
        <v>10</v>
      </c>
      <c r="C104" t="s">
        <v>15</v>
      </c>
      <c r="D104">
        <v>7</v>
      </c>
      <c r="E104">
        <v>4573</v>
      </c>
    </row>
    <row r="105" spans="1:5" ht="12.75">
      <c r="A105">
        <v>10008</v>
      </c>
      <c r="B105">
        <v>10</v>
      </c>
      <c r="C105" t="s">
        <v>15</v>
      </c>
      <c r="D105">
        <v>8</v>
      </c>
      <c r="E105">
        <v>4573</v>
      </c>
    </row>
    <row r="106" spans="1:5" ht="12.75">
      <c r="A106">
        <v>10009</v>
      </c>
      <c r="B106">
        <v>10</v>
      </c>
      <c r="C106" t="s">
        <v>15</v>
      </c>
      <c r="D106">
        <v>9</v>
      </c>
      <c r="E106">
        <v>4573</v>
      </c>
    </row>
    <row r="107" spans="1:5" ht="12.75">
      <c r="A107">
        <v>10010</v>
      </c>
      <c r="B107">
        <v>10</v>
      </c>
      <c r="C107" t="s">
        <v>15</v>
      </c>
      <c r="D107">
        <v>10</v>
      </c>
      <c r="E107">
        <v>4573</v>
      </c>
    </row>
    <row r="108" spans="1:5" ht="12.75">
      <c r="A108">
        <v>10015</v>
      </c>
      <c r="B108">
        <v>10</v>
      </c>
      <c r="C108" t="s">
        <v>15</v>
      </c>
      <c r="D108">
        <v>15</v>
      </c>
      <c r="E108">
        <v>4573</v>
      </c>
    </row>
    <row r="109" spans="1:5" ht="12.75">
      <c r="A109">
        <v>10016</v>
      </c>
      <c r="B109">
        <v>10</v>
      </c>
      <c r="C109" t="s">
        <v>15</v>
      </c>
      <c r="D109">
        <v>16</v>
      </c>
      <c r="E109">
        <v>4573</v>
      </c>
    </row>
    <row r="110" spans="1:5" ht="12.75">
      <c r="A110">
        <v>10017</v>
      </c>
      <c r="B110">
        <v>10</v>
      </c>
      <c r="C110" t="s">
        <v>15</v>
      </c>
      <c r="D110">
        <v>17</v>
      </c>
      <c r="E110">
        <v>4573</v>
      </c>
    </row>
    <row r="111" spans="1:5" ht="12.75">
      <c r="A111">
        <v>11002</v>
      </c>
      <c r="B111">
        <v>11</v>
      </c>
      <c r="C111" t="s">
        <v>16</v>
      </c>
      <c r="D111">
        <v>2</v>
      </c>
      <c r="E111">
        <v>2140</v>
      </c>
    </row>
    <row r="112" spans="1:5" ht="12.75">
      <c r="A112">
        <v>11003</v>
      </c>
      <c r="B112">
        <v>11</v>
      </c>
      <c r="C112" t="s">
        <v>16</v>
      </c>
      <c r="D112">
        <v>3</v>
      </c>
      <c r="E112">
        <v>2140</v>
      </c>
    </row>
    <row r="113" spans="1:5" ht="12.75">
      <c r="A113">
        <v>11004</v>
      </c>
      <c r="B113">
        <v>11</v>
      </c>
      <c r="C113" t="s">
        <v>16</v>
      </c>
      <c r="D113">
        <v>4</v>
      </c>
      <c r="E113">
        <v>1881</v>
      </c>
    </row>
    <row r="114" spans="1:5" ht="12.75">
      <c r="A114">
        <v>11005</v>
      </c>
      <c r="B114">
        <v>11</v>
      </c>
      <c r="C114" t="s">
        <v>16</v>
      </c>
      <c r="D114">
        <v>5</v>
      </c>
      <c r="E114">
        <v>1881</v>
      </c>
    </row>
    <row r="115" spans="1:5" ht="12.75">
      <c r="A115">
        <v>11006</v>
      </c>
      <c r="B115">
        <v>11</v>
      </c>
      <c r="C115" t="s">
        <v>16</v>
      </c>
      <c r="D115">
        <v>6</v>
      </c>
      <c r="E115">
        <v>2140</v>
      </c>
    </row>
    <row r="116" spans="1:5" ht="12.75">
      <c r="A116">
        <v>11007</v>
      </c>
      <c r="B116">
        <v>11</v>
      </c>
      <c r="C116" t="s">
        <v>16</v>
      </c>
      <c r="D116">
        <v>7</v>
      </c>
      <c r="E116">
        <v>1881</v>
      </c>
    </row>
    <row r="117" spans="1:5" ht="12.75">
      <c r="A117">
        <v>11008</v>
      </c>
      <c r="B117">
        <v>11</v>
      </c>
      <c r="C117" t="s">
        <v>16</v>
      </c>
      <c r="D117">
        <v>8</v>
      </c>
      <c r="E117">
        <v>1881</v>
      </c>
    </row>
    <row r="118" spans="1:5" ht="12.75">
      <c r="A118">
        <v>11009</v>
      </c>
      <c r="B118">
        <v>11</v>
      </c>
      <c r="C118" t="s">
        <v>16</v>
      </c>
      <c r="D118">
        <v>9</v>
      </c>
      <c r="E118">
        <v>1945</v>
      </c>
    </row>
    <row r="119" spans="1:5" ht="12.75">
      <c r="A119">
        <v>11010</v>
      </c>
      <c r="B119">
        <v>11</v>
      </c>
      <c r="C119" t="s">
        <v>16</v>
      </c>
      <c r="D119">
        <v>10</v>
      </c>
      <c r="E119">
        <v>1881</v>
      </c>
    </row>
    <row r="120" spans="1:5" ht="12.75">
      <c r="A120">
        <v>11011</v>
      </c>
      <c r="B120">
        <v>11</v>
      </c>
      <c r="C120" t="s">
        <v>16</v>
      </c>
      <c r="D120">
        <v>11</v>
      </c>
      <c r="E120">
        <v>1945</v>
      </c>
    </row>
    <row r="121" spans="1:5" ht="12.75">
      <c r="A121">
        <v>11012</v>
      </c>
      <c r="B121">
        <v>11</v>
      </c>
      <c r="C121" t="s">
        <v>16</v>
      </c>
      <c r="D121">
        <v>12</v>
      </c>
      <c r="E121">
        <v>2140</v>
      </c>
    </row>
    <row r="122" spans="1:5" ht="12.75">
      <c r="A122">
        <v>12001</v>
      </c>
      <c r="B122">
        <v>12</v>
      </c>
      <c r="C122" t="s">
        <v>17</v>
      </c>
      <c r="D122">
        <v>1</v>
      </c>
      <c r="E122">
        <v>3037</v>
      </c>
    </row>
    <row r="123" spans="1:5" ht="12.75">
      <c r="A123">
        <v>12002</v>
      </c>
      <c r="B123">
        <v>12</v>
      </c>
      <c r="C123" t="s">
        <v>17</v>
      </c>
      <c r="D123">
        <v>2</v>
      </c>
      <c r="E123">
        <v>3037</v>
      </c>
    </row>
    <row r="124" spans="1:5" ht="12.75">
      <c r="A124">
        <v>12003</v>
      </c>
      <c r="B124">
        <v>12</v>
      </c>
      <c r="C124" t="s">
        <v>17</v>
      </c>
      <c r="D124">
        <v>3</v>
      </c>
      <c r="E124">
        <v>3037</v>
      </c>
    </row>
    <row r="125" spans="1:5" ht="12.75">
      <c r="A125">
        <v>12004</v>
      </c>
      <c r="B125">
        <v>12</v>
      </c>
      <c r="C125" t="s">
        <v>17</v>
      </c>
      <c r="D125">
        <v>4</v>
      </c>
      <c r="E125">
        <v>3037</v>
      </c>
    </row>
    <row r="126" spans="1:5" ht="12.75">
      <c r="A126">
        <v>12005</v>
      </c>
      <c r="B126">
        <v>12</v>
      </c>
      <c r="C126" t="s">
        <v>17</v>
      </c>
      <c r="D126">
        <v>5</v>
      </c>
      <c r="E126">
        <v>3142</v>
      </c>
    </row>
    <row r="127" spans="1:5" ht="12.75">
      <c r="A127">
        <v>12006</v>
      </c>
      <c r="B127">
        <v>12</v>
      </c>
      <c r="C127" t="s">
        <v>17</v>
      </c>
      <c r="D127">
        <v>6</v>
      </c>
      <c r="E127">
        <v>3037</v>
      </c>
    </row>
    <row r="128" spans="1:5" ht="12.75">
      <c r="A128">
        <v>12007</v>
      </c>
      <c r="B128">
        <v>12</v>
      </c>
      <c r="C128" t="s">
        <v>17</v>
      </c>
      <c r="D128">
        <v>7</v>
      </c>
      <c r="E128">
        <v>2932</v>
      </c>
    </row>
    <row r="129" spans="1:5" ht="12.75">
      <c r="A129">
        <v>12008</v>
      </c>
      <c r="B129">
        <v>12</v>
      </c>
      <c r="C129" t="s">
        <v>17</v>
      </c>
      <c r="D129">
        <v>8</v>
      </c>
      <c r="E129">
        <v>2723</v>
      </c>
    </row>
    <row r="130" spans="1:5" ht="12.75">
      <c r="A130">
        <v>12009</v>
      </c>
      <c r="B130">
        <v>12</v>
      </c>
      <c r="C130" t="s">
        <v>17</v>
      </c>
      <c r="D130">
        <v>9</v>
      </c>
      <c r="E130">
        <v>2723</v>
      </c>
    </row>
    <row r="131" spans="1:5" ht="12.75">
      <c r="A131">
        <v>12010</v>
      </c>
      <c r="B131">
        <v>12</v>
      </c>
      <c r="C131" t="s">
        <v>17</v>
      </c>
      <c r="D131">
        <v>10</v>
      </c>
      <c r="E131">
        <v>3037</v>
      </c>
    </row>
    <row r="132" spans="1:5" ht="12.75">
      <c r="A132">
        <v>12011</v>
      </c>
      <c r="B132">
        <v>12</v>
      </c>
      <c r="C132" t="s">
        <v>17</v>
      </c>
      <c r="D132">
        <v>11</v>
      </c>
      <c r="E132">
        <v>3037</v>
      </c>
    </row>
    <row r="133" spans="1:5" ht="12.75">
      <c r="A133">
        <v>12012</v>
      </c>
      <c r="B133">
        <v>12</v>
      </c>
      <c r="C133" t="s">
        <v>17</v>
      </c>
      <c r="D133">
        <v>12</v>
      </c>
      <c r="E133">
        <v>3142</v>
      </c>
    </row>
    <row r="134" spans="1:5" ht="12.75">
      <c r="A134">
        <v>13001</v>
      </c>
      <c r="B134">
        <v>13</v>
      </c>
      <c r="C134" t="s">
        <v>18</v>
      </c>
      <c r="D134">
        <v>1</v>
      </c>
      <c r="E134">
        <v>2069</v>
      </c>
    </row>
    <row r="135" spans="1:5" ht="12.75">
      <c r="A135">
        <v>13002</v>
      </c>
      <c r="B135">
        <v>13</v>
      </c>
      <c r="C135" t="s">
        <v>18</v>
      </c>
      <c r="D135">
        <v>2</v>
      </c>
      <c r="E135">
        <v>2069</v>
      </c>
    </row>
    <row r="136" spans="1:5" ht="12.75">
      <c r="A136">
        <v>13003</v>
      </c>
      <c r="B136">
        <v>13</v>
      </c>
      <c r="C136" t="s">
        <v>18</v>
      </c>
      <c r="D136">
        <v>3</v>
      </c>
      <c r="E136">
        <v>2069</v>
      </c>
    </row>
    <row r="137" spans="1:5" ht="12.75">
      <c r="A137">
        <v>13004</v>
      </c>
      <c r="B137">
        <v>13</v>
      </c>
      <c r="C137" t="s">
        <v>18</v>
      </c>
      <c r="D137">
        <v>4</v>
      </c>
      <c r="E137">
        <v>2069</v>
      </c>
    </row>
    <row r="138" spans="1:5" ht="12.75">
      <c r="A138">
        <v>13005</v>
      </c>
      <c r="B138">
        <v>13</v>
      </c>
      <c r="C138" t="s">
        <v>18</v>
      </c>
      <c r="D138">
        <v>5</v>
      </c>
      <c r="E138">
        <v>2069</v>
      </c>
    </row>
    <row r="139" spans="1:5" ht="12.75">
      <c r="A139">
        <v>13006</v>
      </c>
      <c r="B139">
        <v>13</v>
      </c>
      <c r="C139" t="s">
        <v>18</v>
      </c>
      <c r="D139">
        <v>6</v>
      </c>
      <c r="E139">
        <v>2069</v>
      </c>
    </row>
    <row r="140" spans="1:5" ht="12.75">
      <c r="A140">
        <v>13007</v>
      </c>
      <c r="B140">
        <v>13</v>
      </c>
      <c r="C140" t="s">
        <v>18</v>
      </c>
      <c r="D140">
        <v>7</v>
      </c>
      <c r="E140">
        <v>2069</v>
      </c>
    </row>
    <row r="141" spans="1:5" ht="12.75">
      <c r="A141">
        <v>13008</v>
      </c>
      <c r="B141">
        <v>13</v>
      </c>
      <c r="C141" t="s">
        <v>18</v>
      </c>
      <c r="D141">
        <v>8</v>
      </c>
      <c r="E141">
        <v>2069</v>
      </c>
    </row>
    <row r="142" spans="1:5" ht="12.75">
      <c r="A142">
        <v>13009</v>
      </c>
      <c r="B142">
        <v>13</v>
      </c>
      <c r="C142" t="s">
        <v>18</v>
      </c>
      <c r="D142">
        <v>9</v>
      </c>
      <c r="E142">
        <v>2069</v>
      </c>
    </row>
    <row r="143" spans="1:5" ht="12.75">
      <c r="A143">
        <v>14001</v>
      </c>
      <c r="B143">
        <v>14</v>
      </c>
      <c r="C143" t="s">
        <v>19</v>
      </c>
      <c r="D143">
        <v>1</v>
      </c>
      <c r="E143">
        <v>3545</v>
      </c>
    </row>
    <row r="144" spans="1:5" ht="12.75">
      <c r="A144">
        <v>14002</v>
      </c>
      <c r="B144">
        <v>14</v>
      </c>
      <c r="C144" t="s">
        <v>19</v>
      </c>
      <c r="D144">
        <v>2</v>
      </c>
      <c r="E144">
        <v>3545</v>
      </c>
    </row>
    <row r="145" spans="1:5" ht="12.75">
      <c r="A145">
        <v>14003</v>
      </c>
      <c r="B145">
        <v>14</v>
      </c>
      <c r="C145" t="s">
        <v>19</v>
      </c>
      <c r="D145">
        <v>3</v>
      </c>
      <c r="E145">
        <v>3545</v>
      </c>
    </row>
    <row r="146" spans="1:5" ht="12.75">
      <c r="A146">
        <v>14004</v>
      </c>
      <c r="B146">
        <v>14</v>
      </c>
      <c r="C146" t="s">
        <v>19</v>
      </c>
      <c r="D146">
        <v>4</v>
      </c>
      <c r="E146">
        <v>3545</v>
      </c>
    </row>
    <row r="147" spans="1:5" ht="12.75">
      <c r="A147">
        <v>15001</v>
      </c>
      <c r="B147">
        <v>15</v>
      </c>
      <c r="C147" t="s">
        <v>20</v>
      </c>
      <c r="D147">
        <v>1</v>
      </c>
      <c r="E147">
        <v>2470</v>
      </c>
    </row>
    <row r="148" spans="1:5" ht="12.75">
      <c r="A148">
        <v>15002</v>
      </c>
      <c r="B148">
        <v>15</v>
      </c>
      <c r="C148" t="s">
        <v>20</v>
      </c>
      <c r="D148">
        <v>2</v>
      </c>
      <c r="E148">
        <v>2470</v>
      </c>
    </row>
    <row r="149" spans="1:5" ht="12.75">
      <c r="A149">
        <v>15003</v>
      </c>
      <c r="B149">
        <v>15</v>
      </c>
      <c r="C149" t="s">
        <v>20</v>
      </c>
      <c r="D149">
        <v>3</v>
      </c>
      <c r="E149">
        <v>2470</v>
      </c>
    </row>
    <row r="150" spans="1:5" ht="12.75">
      <c r="A150">
        <v>15004</v>
      </c>
      <c r="B150">
        <v>15</v>
      </c>
      <c r="C150" t="s">
        <v>20</v>
      </c>
      <c r="D150">
        <v>4</v>
      </c>
      <c r="E150">
        <v>2470</v>
      </c>
    </row>
    <row r="151" spans="1:5" ht="12.75">
      <c r="A151">
        <v>15005</v>
      </c>
      <c r="B151">
        <v>15</v>
      </c>
      <c r="C151" t="s">
        <v>20</v>
      </c>
      <c r="D151">
        <v>5</v>
      </c>
      <c r="E151">
        <v>2385</v>
      </c>
    </row>
    <row r="152" spans="1:5" ht="12.75">
      <c r="A152">
        <v>15006</v>
      </c>
      <c r="B152">
        <v>15</v>
      </c>
      <c r="C152" t="s">
        <v>20</v>
      </c>
      <c r="D152">
        <v>6</v>
      </c>
      <c r="E152">
        <v>2385</v>
      </c>
    </row>
    <row r="153" spans="1:5" ht="12.75">
      <c r="A153">
        <v>15007</v>
      </c>
      <c r="B153">
        <v>15</v>
      </c>
      <c r="C153" t="s">
        <v>20</v>
      </c>
      <c r="D153">
        <v>7</v>
      </c>
      <c r="E153">
        <v>2385</v>
      </c>
    </row>
    <row r="154" spans="1:5" ht="12.75">
      <c r="A154">
        <v>15008</v>
      </c>
      <c r="B154">
        <v>15</v>
      </c>
      <c r="C154" t="s">
        <v>20</v>
      </c>
      <c r="D154">
        <v>8</v>
      </c>
      <c r="E154">
        <v>2385</v>
      </c>
    </row>
    <row r="155" spans="1:5" ht="12.75">
      <c r="A155">
        <v>16001</v>
      </c>
      <c r="B155">
        <v>16</v>
      </c>
      <c r="C155" t="s">
        <v>21</v>
      </c>
      <c r="D155">
        <v>1</v>
      </c>
      <c r="E155">
        <v>2289</v>
      </c>
    </row>
    <row r="156" spans="1:5" ht="12.75">
      <c r="A156">
        <v>16002</v>
      </c>
      <c r="B156">
        <v>16</v>
      </c>
      <c r="C156" t="s">
        <v>21</v>
      </c>
      <c r="D156">
        <v>2</v>
      </c>
      <c r="E156">
        <v>2289</v>
      </c>
    </row>
    <row r="157" spans="1:5" ht="12.75">
      <c r="A157">
        <v>16003</v>
      </c>
      <c r="B157">
        <v>16</v>
      </c>
      <c r="C157" t="s">
        <v>21</v>
      </c>
      <c r="D157">
        <v>3</v>
      </c>
      <c r="E157">
        <v>2358</v>
      </c>
    </row>
    <row r="158" spans="1:5" ht="12.75">
      <c r="A158">
        <v>16004</v>
      </c>
      <c r="B158">
        <v>16</v>
      </c>
      <c r="C158" t="s">
        <v>21</v>
      </c>
      <c r="D158">
        <v>4</v>
      </c>
      <c r="E158">
        <v>2081</v>
      </c>
    </row>
    <row r="159" spans="1:5" ht="12.75">
      <c r="A159">
        <v>16005</v>
      </c>
      <c r="B159">
        <v>16</v>
      </c>
      <c r="C159" t="s">
        <v>21</v>
      </c>
      <c r="D159">
        <v>5</v>
      </c>
      <c r="E159">
        <v>2081</v>
      </c>
    </row>
    <row r="160" spans="1:5" ht="12.75">
      <c r="A160">
        <v>16006</v>
      </c>
      <c r="B160">
        <v>16</v>
      </c>
      <c r="C160" t="s">
        <v>21</v>
      </c>
      <c r="D160">
        <v>6</v>
      </c>
      <c r="E160">
        <v>2012</v>
      </c>
    </row>
    <row r="161" spans="1:5" ht="12.75">
      <c r="A161">
        <v>16007</v>
      </c>
      <c r="B161">
        <v>16</v>
      </c>
      <c r="C161" t="s">
        <v>21</v>
      </c>
      <c r="D161">
        <v>7</v>
      </c>
      <c r="E161">
        <v>2081</v>
      </c>
    </row>
    <row r="162" spans="1:5" ht="12.75">
      <c r="A162">
        <v>16008</v>
      </c>
      <c r="B162">
        <v>16</v>
      </c>
      <c r="C162" t="s">
        <v>21</v>
      </c>
      <c r="D162">
        <v>8</v>
      </c>
      <c r="E162">
        <v>2289</v>
      </c>
    </row>
    <row r="163" spans="1:5" ht="12.75">
      <c r="A163">
        <v>16009</v>
      </c>
      <c r="B163">
        <v>16</v>
      </c>
      <c r="C163" t="s">
        <v>21</v>
      </c>
      <c r="D163">
        <v>9</v>
      </c>
      <c r="E163">
        <v>2081</v>
      </c>
    </row>
    <row r="164" spans="1:5" ht="12.75">
      <c r="A164">
        <v>16010</v>
      </c>
      <c r="B164">
        <v>16</v>
      </c>
      <c r="C164" t="s">
        <v>21</v>
      </c>
      <c r="D164">
        <v>10</v>
      </c>
      <c r="E164">
        <v>2289</v>
      </c>
    </row>
    <row r="165" spans="1:5" ht="12.75">
      <c r="A165">
        <v>16011</v>
      </c>
      <c r="B165">
        <v>16</v>
      </c>
      <c r="C165" t="s">
        <v>21</v>
      </c>
      <c r="D165">
        <v>11</v>
      </c>
      <c r="E165">
        <v>2358</v>
      </c>
    </row>
    <row r="166" spans="1:5" ht="12.75">
      <c r="A166">
        <v>17001</v>
      </c>
      <c r="B166">
        <v>17</v>
      </c>
      <c r="C166" t="s">
        <v>22</v>
      </c>
      <c r="D166">
        <v>1</v>
      </c>
      <c r="E166">
        <v>1612</v>
      </c>
    </row>
    <row r="167" spans="1:5" ht="12.75">
      <c r="A167">
        <v>17002</v>
      </c>
      <c r="B167">
        <v>17</v>
      </c>
      <c r="C167" t="s">
        <v>22</v>
      </c>
      <c r="D167">
        <v>2</v>
      </c>
      <c r="E167">
        <v>1834</v>
      </c>
    </row>
    <row r="168" spans="1:5" ht="12.75">
      <c r="A168">
        <v>17003</v>
      </c>
      <c r="B168">
        <v>17</v>
      </c>
      <c r="C168" t="s">
        <v>22</v>
      </c>
      <c r="D168">
        <v>3</v>
      </c>
      <c r="E168">
        <v>1612</v>
      </c>
    </row>
    <row r="169" spans="1:5" ht="12.75">
      <c r="A169">
        <v>17004</v>
      </c>
      <c r="B169">
        <v>17</v>
      </c>
      <c r="C169" t="s">
        <v>22</v>
      </c>
      <c r="D169">
        <v>4</v>
      </c>
      <c r="E169">
        <v>1612</v>
      </c>
    </row>
    <row r="170" spans="1:5" ht="12.75">
      <c r="A170">
        <v>17005</v>
      </c>
      <c r="B170">
        <v>17</v>
      </c>
      <c r="C170" t="s">
        <v>22</v>
      </c>
      <c r="D170">
        <v>5</v>
      </c>
      <c r="E170">
        <v>1612</v>
      </c>
    </row>
    <row r="171" spans="1:5" ht="12.75">
      <c r="A171">
        <v>17006</v>
      </c>
      <c r="B171">
        <v>17</v>
      </c>
      <c r="C171" t="s">
        <v>22</v>
      </c>
      <c r="D171">
        <v>6</v>
      </c>
      <c r="E171">
        <v>1612</v>
      </c>
    </row>
    <row r="172" spans="1:5" ht="12.75">
      <c r="A172">
        <v>17007</v>
      </c>
      <c r="B172">
        <v>17</v>
      </c>
      <c r="C172" t="s">
        <v>22</v>
      </c>
      <c r="D172">
        <v>7</v>
      </c>
      <c r="E172">
        <v>1667</v>
      </c>
    </row>
    <row r="173" spans="1:5" ht="12.75">
      <c r="A173">
        <v>17008</v>
      </c>
      <c r="B173">
        <v>17</v>
      </c>
      <c r="C173" t="s">
        <v>22</v>
      </c>
      <c r="D173">
        <v>8</v>
      </c>
      <c r="E173">
        <v>1667</v>
      </c>
    </row>
    <row r="174" spans="1:5" ht="12.75">
      <c r="A174">
        <v>17009</v>
      </c>
      <c r="B174">
        <v>17</v>
      </c>
      <c r="C174" t="s">
        <v>22</v>
      </c>
      <c r="D174">
        <v>9</v>
      </c>
      <c r="E174">
        <v>1612</v>
      </c>
    </row>
    <row r="175" spans="1:5" ht="12.75">
      <c r="A175">
        <v>17010</v>
      </c>
      <c r="B175">
        <v>17</v>
      </c>
      <c r="C175" t="s">
        <v>22</v>
      </c>
      <c r="D175">
        <v>10</v>
      </c>
      <c r="E175">
        <v>1667</v>
      </c>
    </row>
    <row r="176" spans="1:5" ht="12.75">
      <c r="A176">
        <v>18001</v>
      </c>
      <c r="B176">
        <v>18</v>
      </c>
      <c r="C176" t="s">
        <v>23</v>
      </c>
      <c r="D176">
        <v>1</v>
      </c>
      <c r="E176">
        <v>4287</v>
      </c>
    </row>
    <row r="177" spans="1:5" ht="12.75">
      <c r="A177">
        <v>18002</v>
      </c>
      <c r="B177">
        <v>18</v>
      </c>
      <c r="C177" t="s">
        <v>23</v>
      </c>
      <c r="D177">
        <v>2</v>
      </c>
      <c r="E177">
        <v>4287</v>
      </c>
    </row>
    <row r="178" spans="1:5" ht="12.75">
      <c r="A178">
        <v>18003</v>
      </c>
      <c r="B178">
        <v>18</v>
      </c>
      <c r="C178" t="s">
        <v>23</v>
      </c>
      <c r="D178">
        <v>3</v>
      </c>
      <c r="E178">
        <v>3782</v>
      </c>
    </row>
    <row r="179" spans="1:5" ht="12.75">
      <c r="A179">
        <v>18004</v>
      </c>
      <c r="B179">
        <v>18</v>
      </c>
      <c r="C179" t="s">
        <v>23</v>
      </c>
      <c r="D179">
        <v>4</v>
      </c>
      <c r="E179">
        <v>3782</v>
      </c>
    </row>
    <row r="180" spans="1:5" ht="12.75">
      <c r="A180">
        <v>18005</v>
      </c>
      <c r="B180">
        <v>18</v>
      </c>
      <c r="C180" t="s">
        <v>23</v>
      </c>
      <c r="D180">
        <v>5</v>
      </c>
      <c r="E180">
        <v>3782</v>
      </c>
    </row>
    <row r="181" spans="1:5" ht="12.75">
      <c r="A181">
        <v>18006</v>
      </c>
      <c r="B181">
        <v>18</v>
      </c>
      <c r="C181" t="s">
        <v>23</v>
      </c>
      <c r="D181">
        <v>6</v>
      </c>
      <c r="E181">
        <v>3782</v>
      </c>
    </row>
    <row r="182" spans="1:5" ht="12.75">
      <c r="A182">
        <v>18007</v>
      </c>
      <c r="B182">
        <v>18</v>
      </c>
      <c r="C182" t="s">
        <v>23</v>
      </c>
      <c r="D182">
        <v>7</v>
      </c>
      <c r="E182">
        <v>3782</v>
      </c>
    </row>
    <row r="183" spans="1:5" ht="12.75">
      <c r="A183">
        <v>18008</v>
      </c>
      <c r="B183">
        <v>18</v>
      </c>
      <c r="C183" t="s">
        <v>23</v>
      </c>
      <c r="D183">
        <v>8</v>
      </c>
      <c r="E183">
        <v>3782</v>
      </c>
    </row>
    <row r="184" spans="1:5" ht="12.75">
      <c r="A184">
        <v>19001</v>
      </c>
      <c r="B184">
        <v>19</v>
      </c>
      <c r="C184" t="s">
        <v>24</v>
      </c>
      <c r="D184">
        <v>1</v>
      </c>
      <c r="E184">
        <v>1720</v>
      </c>
    </row>
    <row r="185" spans="1:5" ht="12.75">
      <c r="A185">
        <v>19002</v>
      </c>
      <c r="B185">
        <v>19</v>
      </c>
      <c r="C185" t="s">
        <v>24</v>
      </c>
      <c r="D185">
        <v>2</v>
      </c>
      <c r="E185">
        <v>1720</v>
      </c>
    </row>
    <row r="186" spans="1:5" ht="12.75">
      <c r="A186">
        <v>19003</v>
      </c>
      <c r="B186">
        <v>19</v>
      </c>
      <c r="C186" t="s">
        <v>24</v>
      </c>
      <c r="D186">
        <v>3</v>
      </c>
      <c r="E186">
        <v>1542</v>
      </c>
    </row>
    <row r="187" spans="1:5" ht="12.75">
      <c r="A187">
        <v>19004</v>
      </c>
      <c r="B187">
        <v>19</v>
      </c>
      <c r="C187" t="s">
        <v>24</v>
      </c>
      <c r="D187">
        <v>4</v>
      </c>
      <c r="E187">
        <v>1424</v>
      </c>
    </row>
    <row r="188" spans="1:5" ht="12.75">
      <c r="A188">
        <v>19005</v>
      </c>
      <c r="B188">
        <v>19</v>
      </c>
      <c r="C188" t="s">
        <v>24</v>
      </c>
      <c r="D188">
        <v>5</v>
      </c>
      <c r="E188">
        <v>1661</v>
      </c>
    </row>
    <row r="189" spans="1:5" ht="12.75">
      <c r="A189">
        <v>19006</v>
      </c>
      <c r="B189">
        <v>19</v>
      </c>
      <c r="C189" t="s">
        <v>24</v>
      </c>
      <c r="D189">
        <v>6</v>
      </c>
      <c r="E189">
        <v>1720</v>
      </c>
    </row>
    <row r="190" spans="1:5" ht="12.75">
      <c r="A190">
        <v>19007</v>
      </c>
      <c r="B190">
        <v>19</v>
      </c>
      <c r="C190" t="s">
        <v>24</v>
      </c>
      <c r="D190">
        <v>7</v>
      </c>
      <c r="E190">
        <v>1720</v>
      </c>
    </row>
    <row r="191" spans="1:5" ht="12.75">
      <c r="A191">
        <v>19008</v>
      </c>
      <c r="B191">
        <v>19</v>
      </c>
      <c r="C191" t="s">
        <v>24</v>
      </c>
      <c r="D191">
        <v>8</v>
      </c>
      <c r="E191">
        <v>1720</v>
      </c>
    </row>
    <row r="192" spans="1:5" ht="12.75">
      <c r="A192">
        <v>19009</v>
      </c>
      <c r="B192">
        <v>19</v>
      </c>
      <c r="C192" t="s">
        <v>24</v>
      </c>
      <c r="D192">
        <v>9</v>
      </c>
      <c r="E192">
        <v>1720</v>
      </c>
    </row>
    <row r="193" spans="1:5" ht="12.75">
      <c r="A193">
        <v>19010</v>
      </c>
      <c r="B193">
        <v>19</v>
      </c>
      <c r="C193" t="s">
        <v>24</v>
      </c>
      <c r="D193">
        <v>10</v>
      </c>
      <c r="E193">
        <v>1720</v>
      </c>
    </row>
    <row r="194" spans="1:5" ht="12.75">
      <c r="A194">
        <v>19011</v>
      </c>
      <c r="B194">
        <v>19</v>
      </c>
      <c r="C194" t="s">
        <v>24</v>
      </c>
      <c r="D194">
        <v>11</v>
      </c>
      <c r="E194">
        <v>1720</v>
      </c>
    </row>
    <row r="195" spans="1:5" ht="12.75">
      <c r="A195">
        <v>19012</v>
      </c>
      <c r="B195">
        <v>19</v>
      </c>
      <c r="C195" t="s">
        <v>24</v>
      </c>
      <c r="D195">
        <v>12</v>
      </c>
      <c r="E195">
        <v>1661</v>
      </c>
    </row>
    <row r="196" spans="1:5" ht="12.75">
      <c r="A196">
        <v>20001</v>
      </c>
      <c r="B196">
        <v>20</v>
      </c>
      <c r="C196" t="s">
        <v>25</v>
      </c>
      <c r="D196">
        <v>1</v>
      </c>
      <c r="E196">
        <v>1583</v>
      </c>
    </row>
    <row r="197" spans="1:5" ht="12.75">
      <c r="A197">
        <v>20002</v>
      </c>
      <c r="B197">
        <v>20</v>
      </c>
      <c r="C197" t="s">
        <v>25</v>
      </c>
      <c r="D197">
        <v>2</v>
      </c>
      <c r="E197">
        <v>1583</v>
      </c>
    </row>
    <row r="198" spans="1:5" ht="12.75">
      <c r="A198">
        <v>20003</v>
      </c>
      <c r="B198">
        <v>20</v>
      </c>
      <c r="C198" t="s">
        <v>25</v>
      </c>
      <c r="D198">
        <v>3</v>
      </c>
      <c r="E198">
        <v>1583</v>
      </c>
    </row>
    <row r="199" spans="1:5" ht="12.75">
      <c r="A199">
        <v>20004</v>
      </c>
      <c r="B199">
        <v>20</v>
      </c>
      <c r="C199" t="s">
        <v>25</v>
      </c>
      <c r="D199">
        <v>4</v>
      </c>
      <c r="E199">
        <v>1583</v>
      </c>
    </row>
    <row r="200" spans="1:5" ht="12.75">
      <c r="A200">
        <v>20005</v>
      </c>
      <c r="B200">
        <v>20</v>
      </c>
      <c r="C200" t="s">
        <v>25</v>
      </c>
      <c r="D200">
        <v>5</v>
      </c>
      <c r="E200">
        <v>1470</v>
      </c>
    </row>
    <row r="201" spans="1:5" ht="12.75">
      <c r="A201">
        <v>20006</v>
      </c>
      <c r="B201">
        <v>20</v>
      </c>
      <c r="C201" t="s">
        <v>25</v>
      </c>
      <c r="D201">
        <v>6</v>
      </c>
      <c r="E201">
        <v>1470</v>
      </c>
    </row>
    <row r="202" spans="1:5" ht="12.75">
      <c r="A202">
        <v>20007</v>
      </c>
      <c r="B202">
        <v>20</v>
      </c>
      <c r="C202" t="s">
        <v>25</v>
      </c>
      <c r="D202">
        <v>7</v>
      </c>
      <c r="E202">
        <v>1470</v>
      </c>
    </row>
    <row r="203" spans="1:5" ht="12.75">
      <c r="A203">
        <v>20008</v>
      </c>
      <c r="B203">
        <v>20</v>
      </c>
      <c r="C203" t="s">
        <v>25</v>
      </c>
      <c r="D203">
        <v>8</v>
      </c>
      <c r="E203">
        <v>1470</v>
      </c>
    </row>
    <row r="204" spans="1:5" ht="12.75">
      <c r="A204">
        <v>20009</v>
      </c>
      <c r="B204">
        <v>20</v>
      </c>
      <c r="C204" t="s">
        <v>25</v>
      </c>
      <c r="D204">
        <v>9</v>
      </c>
      <c r="E204">
        <v>1470</v>
      </c>
    </row>
    <row r="205" spans="1:5" ht="12.75">
      <c r="A205">
        <v>20010</v>
      </c>
      <c r="B205">
        <v>20</v>
      </c>
      <c r="C205" t="s">
        <v>25</v>
      </c>
      <c r="D205">
        <v>10</v>
      </c>
      <c r="E205">
        <v>1583</v>
      </c>
    </row>
    <row r="206" spans="1:5" ht="12.75">
      <c r="A206">
        <v>20011</v>
      </c>
      <c r="B206">
        <v>20</v>
      </c>
      <c r="C206" t="s">
        <v>25</v>
      </c>
      <c r="D206">
        <v>11</v>
      </c>
      <c r="E206">
        <v>1583</v>
      </c>
    </row>
    <row r="207" spans="1:5" ht="12.75">
      <c r="A207">
        <v>20012</v>
      </c>
      <c r="B207">
        <v>20</v>
      </c>
      <c r="C207" t="s">
        <v>25</v>
      </c>
      <c r="D207">
        <v>12</v>
      </c>
      <c r="E207">
        <v>1470</v>
      </c>
    </row>
    <row r="208" spans="1:5" ht="12.75">
      <c r="A208">
        <v>21001</v>
      </c>
      <c r="B208">
        <v>21</v>
      </c>
      <c r="C208" t="s">
        <v>26</v>
      </c>
      <c r="D208">
        <v>1</v>
      </c>
      <c r="E208">
        <v>4646</v>
      </c>
    </row>
    <row r="209" spans="1:5" ht="12.75">
      <c r="A209">
        <v>21002</v>
      </c>
      <c r="B209">
        <v>21</v>
      </c>
      <c r="C209" t="s">
        <v>26</v>
      </c>
      <c r="D209">
        <v>2</v>
      </c>
      <c r="E209">
        <v>4646</v>
      </c>
    </row>
    <row r="210" spans="1:5" ht="12.75">
      <c r="A210">
        <v>21003</v>
      </c>
      <c r="B210">
        <v>21</v>
      </c>
      <c r="C210" t="s">
        <v>26</v>
      </c>
      <c r="D210">
        <v>3</v>
      </c>
      <c r="E210">
        <v>4646</v>
      </c>
    </row>
    <row r="211" spans="1:5" ht="12.75">
      <c r="A211">
        <v>21004</v>
      </c>
      <c r="B211">
        <v>21</v>
      </c>
      <c r="C211" t="s">
        <v>26</v>
      </c>
      <c r="D211">
        <v>4</v>
      </c>
      <c r="E211">
        <v>4646</v>
      </c>
    </row>
    <row r="212" spans="1:5" ht="12.75">
      <c r="A212">
        <v>21005</v>
      </c>
      <c r="B212">
        <v>21</v>
      </c>
      <c r="C212" t="s">
        <v>26</v>
      </c>
      <c r="D212">
        <v>5</v>
      </c>
      <c r="E212">
        <v>4259</v>
      </c>
    </row>
    <row r="213" spans="1:5" ht="12.75">
      <c r="A213">
        <v>22002</v>
      </c>
      <c r="B213">
        <v>22</v>
      </c>
      <c r="C213" t="s">
        <v>27</v>
      </c>
      <c r="D213">
        <v>2</v>
      </c>
      <c r="E213">
        <v>1385</v>
      </c>
    </row>
    <row r="214" spans="1:5" ht="12.75">
      <c r="A214">
        <v>22003</v>
      </c>
      <c r="B214">
        <v>22</v>
      </c>
      <c r="C214" t="s">
        <v>27</v>
      </c>
      <c r="D214">
        <v>3</v>
      </c>
      <c r="E214">
        <v>1435</v>
      </c>
    </row>
    <row r="215" spans="1:5" ht="12.75">
      <c r="A215">
        <v>22004</v>
      </c>
      <c r="B215">
        <v>22</v>
      </c>
      <c r="C215" t="s">
        <v>27</v>
      </c>
      <c r="D215">
        <v>4</v>
      </c>
      <c r="E215">
        <v>1385</v>
      </c>
    </row>
    <row r="216" spans="1:5" ht="12.75">
      <c r="A216">
        <v>22005</v>
      </c>
      <c r="B216">
        <v>22</v>
      </c>
      <c r="C216" t="s">
        <v>27</v>
      </c>
      <c r="D216">
        <v>5</v>
      </c>
      <c r="E216">
        <v>1385</v>
      </c>
    </row>
    <row r="217" spans="1:5" ht="12.75">
      <c r="A217">
        <v>22006</v>
      </c>
      <c r="B217">
        <v>22</v>
      </c>
      <c r="C217" t="s">
        <v>27</v>
      </c>
      <c r="D217">
        <v>6</v>
      </c>
      <c r="E217">
        <v>1385</v>
      </c>
    </row>
    <row r="218" spans="1:5" ht="12.75">
      <c r="A218">
        <v>22007</v>
      </c>
      <c r="B218">
        <v>22</v>
      </c>
      <c r="C218" t="s">
        <v>27</v>
      </c>
      <c r="D218">
        <v>7</v>
      </c>
      <c r="E218">
        <v>1385</v>
      </c>
    </row>
    <row r="219" spans="1:5" ht="12.75">
      <c r="A219">
        <v>22008</v>
      </c>
      <c r="B219">
        <v>22</v>
      </c>
      <c r="C219" t="s">
        <v>27</v>
      </c>
      <c r="D219">
        <v>8</v>
      </c>
      <c r="E219">
        <v>1435</v>
      </c>
    </row>
    <row r="220" spans="1:5" ht="12.75">
      <c r="A220">
        <v>22009</v>
      </c>
      <c r="B220">
        <v>22</v>
      </c>
      <c r="C220" t="s">
        <v>27</v>
      </c>
      <c r="D220">
        <v>9</v>
      </c>
      <c r="E220">
        <v>1435</v>
      </c>
    </row>
    <row r="221" spans="1:5" ht="12.75">
      <c r="A221">
        <v>22010</v>
      </c>
      <c r="B221">
        <v>22</v>
      </c>
      <c r="C221" t="s">
        <v>27</v>
      </c>
      <c r="D221">
        <v>10</v>
      </c>
      <c r="E221">
        <v>1435</v>
      </c>
    </row>
    <row r="222" spans="1:5" ht="12.75">
      <c r="A222">
        <v>22011</v>
      </c>
      <c r="B222">
        <v>22</v>
      </c>
      <c r="C222" t="s">
        <v>27</v>
      </c>
      <c r="D222">
        <v>11</v>
      </c>
      <c r="E222">
        <v>1435</v>
      </c>
    </row>
    <row r="223" spans="1:5" ht="12.75">
      <c r="A223">
        <v>22012</v>
      </c>
      <c r="B223">
        <v>22</v>
      </c>
      <c r="C223" t="s">
        <v>27</v>
      </c>
      <c r="D223">
        <v>12</v>
      </c>
      <c r="E223">
        <v>1435</v>
      </c>
    </row>
    <row r="224" spans="1:5" ht="12.75">
      <c r="A224">
        <v>22013</v>
      </c>
      <c r="B224">
        <v>22</v>
      </c>
      <c r="C224" t="s">
        <v>27</v>
      </c>
      <c r="D224">
        <v>13</v>
      </c>
      <c r="E224">
        <v>1435</v>
      </c>
    </row>
    <row r="225" spans="1:5" ht="12.75">
      <c r="A225">
        <v>22014</v>
      </c>
      <c r="B225">
        <v>22</v>
      </c>
      <c r="C225" t="s">
        <v>27</v>
      </c>
      <c r="D225">
        <v>14</v>
      </c>
      <c r="E225">
        <v>1435</v>
      </c>
    </row>
    <row r="226" spans="1:5" ht="12.75">
      <c r="A226">
        <v>22015</v>
      </c>
      <c r="B226">
        <v>22</v>
      </c>
      <c r="C226" t="s">
        <v>27</v>
      </c>
      <c r="D226">
        <v>15</v>
      </c>
      <c r="E226">
        <v>1435</v>
      </c>
    </row>
    <row r="227" spans="1:5" ht="12.75">
      <c r="A227">
        <v>22016</v>
      </c>
      <c r="B227">
        <v>22</v>
      </c>
      <c r="C227" t="s">
        <v>27</v>
      </c>
      <c r="D227">
        <v>16</v>
      </c>
      <c r="E227">
        <v>1435</v>
      </c>
    </row>
    <row r="228" spans="1:5" ht="12.75">
      <c r="A228">
        <v>22017</v>
      </c>
      <c r="B228">
        <v>22</v>
      </c>
      <c r="C228" t="s">
        <v>27</v>
      </c>
      <c r="D228">
        <v>17</v>
      </c>
      <c r="E228">
        <v>1435</v>
      </c>
    </row>
    <row r="229" spans="1:5" ht="12.75">
      <c r="A229">
        <v>23001</v>
      </c>
      <c r="B229">
        <v>23</v>
      </c>
      <c r="C229" t="s">
        <v>28</v>
      </c>
      <c r="D229">
        <v>1</v>
      </c>
      <c r="E229">
        <v>1518</v>
      </c>
    </row>
    <row r="230" spans="1:5" ht="12.75">
      <c r="A230">
        <v>23002</v>
      </c>
      <c r="B230">
        <v>23</v>
      </c>
      <c r="C230" t="s">
        <v>28</v>
      </c>
      <c r="D230">
        <v>2</v>
      </c>
      <c r="E230">
        <v>1466</v>
      </c>
    </row>
    <row r="231" spans="1:5" ht="12.75">
      <c r="A231">
        <v>23003</v>
      </c>
      <c r="B231">
        <v>23</v>
      </c>
      <c r="C231" t="s">
        <v>28</v>
      </c>
      <c r="D231">
        <v>3</v>
      </c>
      <c r="E231">
        <v>1361</v>
      </c>
    </row>
    <row r="232" spans="1:5" ht="12.75">
      <c r="A232">
        <v>23004</v>
      </c>
      <c r="B232">
        <v>23</v>
      </c>
      <c r="C232" t="s">
        <v>28</v>
      </c>
      <c r="D232">
        <v>4</v>
      </c>
      <c r="E232">
        <v>1571</v>
      </c>
    </row>
    <row r="233" spans="1:5" ht="12.75">
      <c r="A233">
        <v>23005</v>
      </c>
      <c r="B233">
        <v>23</v>
      </c>
      <c r="C233" t="s">
        <v>28</v>
      </c>
      <c r="D233">
        <v>5</v>
      </c>
      <c r="E233">
        <v>1571</v>
      </c>
    </row>
    <row r="234" spans="1:5" ht="12.75">
      <c r="A234">
        <v>23006</v>
      </c>
      <c r="B234">
        <v>23</v>
      </c>
      <c r="C234" t="s">
        <v>28</v>
      </c>
      <c r="D234">
        <v>6</v>
      </c>
      <c r="E234">
        <v>1361</v>
      </c>
    </row>
    <row r="235" spans="1:5" ht="12.75">
      <c r="A235">
        <v>23007</v>
      </c>
      <c r="B235">
        <v>23</v>
      </c>
      <c r="C235" t="s">
        <v>28</v>
      </c>
      <c r="D235">
        <v>7</v>
      </c>
      <c r="E235">
        <v>1780</v>
      </c>
    </row>
    <row r="236" spans="1:5" ht="12.75">
      <c r="A236">
        <v>23008</v>
      </c>
      <c r="B236">
        <v>23</v>
      </c>
      <c r="C236" t="s">
        <v>28</v>
      </c>
      <c r="D236">
        <v>8</v>
      </c>
      <c r="E236">
        <v>1571</v>
      </c>
    </row>
    <row r="237" spans="1:5" ht="12.75">
      <c r="A237">
        <v>23009</v>
      </c>
      <c r="B237">
        <v>23</v>
      </c>
      <c r="C237" t="s">
        <v>28</v>
      </c>
      <c r="D237">
        <v>9</v>
      </c>
      <c r="E237">
        <v>1571</v>
      </c>
    </row>
    <row r="238" spans="1:5" ht="12.75">
      <c r="A238">
        <v>23010</v>
      </c>
      <c r="B238">
        <v>23</v>
      </c>
      <c r="C238" t="s">
        <v>28</v>
      </c>
      <c r="D238">
        <v>10</v>
      </c>
      <c r="E238">
        <v>1466</v>
      </c>
    </row>
    <row r="239" spans="1:5" ht="12.75">
      <c r="A239">
        <v>23011</v>
      </c>
      <c r="B239">
        <v>23</v>
      </c>
      <c r="C239" t="s">
        <v>28</v>
      </c>
      <c r="D239">
        <v>11</v>
      </c>
      <c r="E239">
        <v>1518</v>
      </c>
    </row>
    <row r="240" spans="1:5" ht="12.75">
      <c r="A240">
        <v>23012</v>
      </c>
      <c r="B240">
        <v>23</v>
      </c>
      <c r="C240" t="s">
        <v>28</v>
      </c>
      <c r="D240">
        <v>12</v>
      </c>
      <c r="E240">
        <v>1466</v>
      </c>
    </row>
    <row r="241" spans="1:5" ht="12.75">
      <c r="A241">
        <v>23013</v>
      </c>
      <c r="B241">
        <v>23</v>
      </c>
      <c r="C241" t="s">
        <v>28</v>
      </c>
      <c r="D241">
        <v>13</v>
      </c>
      <c r="E241">
        <v>1780</v>
      </c>
    </row>
    <row r="242" spans="1:5" ht="12.75">
      <c r="A242">
        <v>23014</v>
      </c>
      <c r="B242">
        <v>23</v>
      </c>
      <c r="C242" t="s">
        <v>28</v>
      </c>
      <c r="D242">
        <v>14</v>
      </c>
      <c r="E242">
        <v>1780</v>
      </c>
    </row>
    <row r="243" spans="1:5" ht="12.75">
      <c r="A243">
        <v>24001</v>
      </c>
      <c r="B243">
        <v>24</v>
      </c>
      <c r="C243" t="s">
        <v>29</v>
      </c>
      <c r="D243">
        <v>1</v>
      </c>
      <c r="E243">
        <v>1804</v>
      </c>
    </row>
    <row r="244" spans="1:5" ht="12.75">
      <c r="A244">
        <v>24002</v>
      </c>
      <c r="B244">
        <v>24</v>
      </c>
      <c r="C244" t="s">
        <v>29</v>
      </c>
      <c r="D244">
        <v>2</v>
      </c>
      <c r="E244">
        <v>1754</v>
      </c>
    </row>
    <row r="245" spans="1:5" ht="12.75">
      <c r="A245">
        <v>24003</v>
      </c>
      <c r="B245">
        <v>24</v>
      </c>
      <c r="C245" t="s">
        <v>29</v>
      </c>
      <c r="D245">
        <v>3</v>
      </c>
      <c r="E245">
        <v>1804</v>
      </c>
    </row>
    <row r="246" spans="1:5" ht="12.75">
      <c r="A246">
        <v>24004</v>
      </c>
      <c r="B246">
        <v>24</v>
      </c>
      <c r="C246" t="s">
        <v>29</v>
      </c>
      <c r="D246">
        <v>4</v>
      </c>
      <c r="E246">
        <v>1804</v>
      </c>
    </row>
    <row r="247" spans="1:5" ht="12.75">
      <c r="A247">
        <v>24005</v>
      </c>
      <c r="B247">
        <v>24</v>
      </c>
      <c r="C247" t="s">
        <v>29</v>
      </c>
      <c r="D247">
        <v>5</v>
      </c>
      <c r="E247">
        <v>1703</v>
      </c>
    </row>
    <row r="248" spans="1:5" ht="12.75">
      <c r="A248">
        <v>24006</v>
      </c>
      <c r="B248">
        <v>24</v>
      </c>
      <c r="C248" t="s">
        <v>29</v>
      </c>
      <c r="D248">
        <v>6</v>
      </c>
      <c r="E248">
        <v>1754</v>
      </c>
    </row>
    <row r="249" spans="1:5" ht="12.75">
      <c r="A249">
        <v>24007</v>
      </c>
      <c r="B249">
        <v>24</v>
      </c>
      <c r="C249" t="s">
        <v>29</v>
      </c>
      <c r="D249">
        <v>7</v>
      </c>
      <c r="E249">
        <v>1754</v>
      </c>
    </row>
    <row r="250" spans="1:5" ht="12.75">
      <c r="A250">
        <v>24008</v>
      </c>
      <c r="B250">
        <v>24</v>
      </c>
      <c r="C250" t="s">
        <v>29</v>
      </c>
      <c r="D250">
        <v>8</v>
      </c>
      <c r="E250">
        <v>1754</v>
      </c>
    </row>
    <row r="251" spans="1:5" ht="12.75">
      <c r="A251">
        <v>24009</v>
      </c>
      <c r="B251">
        <v>24</v>
      </c>
      <c r="C251" t="s">
        <v>29</v>
      </c>
      <c r="D251">
        <v>9</v>
      </c>
      <c r="E251">
        <v>1754</v>
      </c>
    </row>
    <row r="252" spans="1:5" ht="12.75">
      <c r="A252">
        <v>24010</v>
      </c>
      <c r="B252">
        <v>24</v>
      </c>
      <c r="C252" t="s">
        <v>29</v>
      </c>
      <c r="D252">
        <v>10</v>
      </c>
      <c r="E252">
        <v>1453</v>
      </c>
    </row>
    <row r="253" spans="1:5" ht="12.75">
      <c r="A253">
        <v>24011</v>
      </c>
      <c r="B253">
        <v>24</v>
      </c>
      <c r="C253" t="s">
        <v>29</v>
      </c>
      <c r="D253">
        <v>11</v>
      </c>
      <c r="E253">
        <v>1703</v>
      </c>
    </row>
    <row r="254" spans="1:5" ht="12.75">
      <c r="A254">
        <v>24012</v>
      </c>
      <c r="B254">
        <v>24</v>
      </c>
      <c r="C254" t="s">
        <v>29</v>
      </c>
      <c r="D254">
        <v>12</v>
      </c>
      <c r="E254">
        <v>1503</v>
      </c>
    </row>
    <row r="255" spans="1:5" ht="12.75">
      <c r="A255">
        <v>24013</v>
      </c>
      <c r="B255">
        <v>24</v>
      </c>
      <c r="C255" t="s">
        <v>29</v>
      </c>
      <c r="D255">
        <v>13</v>
      </c>
      <c r="E255">
        <v>1503</v>
      </c>
    </row>
    <row r="256" spans="1:5" ht="12.75">
      <c r="A256">
        <v>24014</v>
      </c>
      <c r="B256">
        <v>24</v>
      </c>
      <c r="C256" t="s">
        <v>29</v>
      </c>
      <c r="D256">
        <v>14</v>
      </c>
      <c r="E256">
        <v>1754</v>
      </c>
    </row>
    <row r="257" spans="1:5" ht="12.75">
      <c r="A257">
        <v>24015</v>
      </c>
      <c r="B257">
        <v>24</v>
      </c>
      <c r="C257" t="s">
        <v>29</v>
      </c>
      <c r="D257">
        <v>15</v>
      </c>
      <c r="E257">
        <v>1804</v>
      </c>
    </row>
    <row r="258" spans="1:5" ht="12.75">
      <c r="A258">
        <v>26002</v>
      </c>
      <c r="B258">
        <v>26</v>
      </c>
      <c r="C258" t="s">
        <v>30</v>
      </c>
      <c r="D258">
        <v>2</v>
      </c>
      <c r="E258">
        <v>4098</v>
      </c>
    </row>
    <row r="259" spans="1:5" ht="12.75">
      <c r="A259">
        <v>26003</v>
      </c>
      <c r="B259">
        <v>26</v>
      </c>
      <c r="C259" t="s">
        <v>30</v>
      </c>
      <c r="D259">
        <v>3</v>
      </c>
      <c r="E259">
        <v>4098</v>
      </c>
    </row>
    <row r="260" spans="1:5" ht="12.75">
      <c r="A260">
        <v>26004</v>
      </c>
      <c r="B260">
        <v>26</v>
      </c>
      <c r="C260" t="s">
        <v>30</v>
      </c>
      <c r="D260">
        <v>4</v>
      </c>
      <c r="E260">
        <v>4098</v>
      </c>
    </row>
    <row r="261" spans="1:5" ht="12.75">
      <c r="A261">
        <v>26005</v>
      </c>
      <c r="B261">
        <v>26</v>
      </c>
      <c r="C261" t="s">
        <v>30</v>
      </c>
      <c r="D261">
        <v>5</v>
      </c>
      <c r="E261">
        <v>4098</v>
      </c>
    </row>
    <row r="262" spans="1:5" ht="12.75">
      <c r="A262">
        <v>26006</v>
      </c>
      <c r="B262">
        <v>26</v>
      </c>
      <c r="C262" t="s">
        <v>30</v>
      </c>
      <c r="D262">
        <v>6</v>
      </c>
      <c r="E262">
        <v>4098</v>
      </c>
    </row>
    <row r="263" spans="1:5" ht="12.75">
      <c r="A263">
        <v>26007</v>
      </c>
      <c r="B263">
        <v>26</v>
      </c>
      <c r="C263" t="s">
        <v>30</v>
      </c>
      <c r="D263">
        <v>7</v>
      </c>
      <c r="E263">
        <v>3725</v>
      </c>
    </row>
    <row r="264" spans="1:5" ht="12.75">
      <c r="A264">
        <v>26008</v>
      </c>
      <c r="B264">
        <v>26</v>
      </c>
      <c r="C264" t="s">
        <v>30</v>
      </c>
      <c r="D264">
        <v>8</v>
      </c>
      <c r="E264">
        <v>3601</v>
      </c>
    </row>
    <row r="265" spans="1:5" ht="12.75">
      <c r="A265">
        <v>26009</v>
      </c>
      <c r="B265">
        <v>26</v>
      </c>
      <c r="C265" t="s">
        <v>30</v>
      </c>
      <c r="D265">
        <v>9</v>
      </c>
      <c r="E265">
        <v>4098</v>
      </c>
    </row>
    <row r="266" spans="1:5" ht="12.75">
      <c r="A266">
        <v>26010</v>
      </c>
      <c r="B266">
        <v>26</v>
      </c>
      <c r="C266" t="s">
        <v>30</v>
      </c>
      <c r="D266">
        <v>10</v>
      </c>
      <c r="E266">
        <v>4098</v>
      </c>
    </row>
    <row r="267" spans="1:5" ht="12.75">
      <c r="A267">
        <v>26011</v>
      </c>
      <c r="B267">
        <v>26</v>
      </c>
      <c r="C267" t="s">
        <v>30</v>
      </c>
      <c r="D267">
        <v>11</v>
      </c>
      <c r="E267">
        <v>4098</v>
      </c>
    </row>
    <row r="268" spans="1:5" ht="12.75">
      <c r="A268">
        <v>27001</v>
      </c>
      <c r="B268">
        <v>27</v>
      </c>
      <c r="C268" t="s">
        <v>31</v>
      </c>
      <c r="D268">
        <v>1</v>
      </c>
      <c r="E268">
        <v>2057</v>
      </c>
    </row>
    <row r="269" spans="1:5" ht="12.75">
      <c r="A269">
        <v>27002</v>
      </c>
      <c r="B269">
        <v>27</v>
      </c>
      <c r="C269" t="s">
        <v>31</v>
      </c>
      <c r="D269">
        <v>2</v>
      </c>
      <c r="E269">
        <v>2057</v>
      </c>
    </row>
    <row r="270" spans="1:5" ht="12.75">
      <c r="A270">
        <v>27003</v>
      </c>
      <c r="B270">
        <v>27</v>
      </c>
      <c r="C270" t="s">
        <v>31</v>
      </c>
      <c r="D270">
        <v>3</v>
      </c>
      <c r="E270">
        <v>1989</v>
      </c>
    </row>
    <row r="271" spans="1:5" ht="12.75">
      <c r="A271">
        <v>27004</v>
      </c>
      <c r="B271">
        <v>27</v>
      </c>
      <c r="C271" t="s">
        <v>31</v>
      </c>
      <c r="D271">
        <v>4</v>
      </c>
      <c r="E271">
        <v>1989</v>
      </c>
    </row>
    <row r="272" spans="1:5" ht="12.75">
      <c r="A272">
        <v>27005</v>
      </c>
      <c r="B272">
        <v>27</v>
      </c>
      <c r="C272" t="s">
        <v>31</v>
      </c>
      <c r="D272">
        <v>5</v>
      </c>
      <c r="E272">
        <v>1989</v>
      </c>
    </row>
    <row r="273" spans="1:5" ht="12.75">
      <c r="A273">
        <v>27006</v>
      </c>
      <c r="B273">
        <v>27</v>
      </c>
      <c r="C273" t="s">
        <v>31</v>
      </c>
      <c r="D273">
        <v>6</v>
      </c>
      <c r="E273">
        <v>1920</v>
      </c>
    </row>
    <row r="274" spans="1:5" ht="12.75">
      <c r="A274">
        <v>27007</v>
      </c>
      <c r="B274">
        <v>27</v>
      </c>
      <c r="C274" t="s">
        <v>31</v>
      </c>
      <c r="D274">
        <v>7</v>
      </c>
      <c r="E274">
        <v>1783</v>
      </c>
    </row>
    <row r="275" spans="1:5" ht="12.75">
      <c r="A275">
        <v>27008</v>
      </c>
      <c r="B275">
        <v>27</v>
      </c>
      <c r="C275" t="s">
        <v>31</v>
      </c>
      <c r="D275">
        <v>8</v>
      </c>
      <c r="E275">
        <v>1783</v>
      </c>
    </row>
    <row r="276" spans="1:5" ht="12.75">
      <c r="A276">
        <v>27009</v>
      </c>
      <c r="B276">
        <v>27</v>
      </c>
      <c r="C276" t="s">
        <v>31</v>
      </c>
      <c r="D276">
        <v>9</v>
      </c>
      <c r="E276">
        <v>1989</v>
      </c>
    </row>
    <row r="277" spans="1:5" ht="12.75">
      <c r="A277">
        <v>27010</v>
      </c>
      <c r="B277">
        <v>27</v>
      </c>
      <c r="C277" t="s">
        <v>31</v>
      </c>
      <c r="D277">
        <v>10</v>
      </c>
      <c r="E277">
        <v>1989</v>
      </c>
    </row>
    <row r="278" spans="1:5" ht="12.75">
      <c r="A278">
        <v>27011</v>
      </c>
      <c r="B278">
        <v>27</v>
      </c>
      <c r="C278" t="s">
        <v>31</v>
      </c>
      <c r="D278">
        <v>11</v>
      </c>
      <c r="E278">
        <v>1989</v>
      </c>
    </row>
    <row r="279" spans="1:5" ht="12.75">
      <c r="A279">
        <v>28001</v>
      </c>
      <c r="B279">
        <v>28</v>
      </c>
      <c r="C279" t="s">
        <v>32</v>
      </c>
      <c r="D279">
        <v>1</v>
      </c>
      <c r="E279">
        <v>3899</v>
      </c>
    </row>
    <row r="280" spans="1:5" ht="12.75">
      <c r="A280">
        <v>28002</v>
      </c>
      <c r="B280">
        <v>28</v>
      </c>
      <c r="C280" t="s">
        <v>32</v>
      </c>
      <c r="D280">
        <v>2</v>
      </c>
      <c r="E280">
        <v>3899</v>
      </c>
    </row>
    <row r="281" spans="1:5" ht="12.75">
      <c r="A281">
        <v>28003</v>
      </c>
      <c r="B281">
        <v>28</v>
      </c>
      <c r="C281" t="s">
        <v>32</v>
      </c>
      <c r="D281">
        <v>3</v>
      </c>
      <c r="E281">
        <v>3899</v>
      </c>
    </row>
    <row r="282" spans="1:5" ht="12.75">
      <c r="A282">
        <v>28004</v>
      </c>
      <c r="B282">
        <v>28</v>
      </c>
      <c r="C282" t="s">
        <v>32</v>
      </c>
      <c r="D282">
        <v>4</v>
      </c>
      <c r="E282">
        <v>3899</v>
      </c>
    </row>
    <row r="283" spans="1:5" ht="12.75">
      <c r="A283">
        <v>28005</v>
      </c>
      <c r="B283">
        <v>28</v>
      </c>
      <c r="C283" t="s">
        <v>32</v>
      </c>
      <c r="D283">
        <v>5</v>
      </c>
      <c r="E283">
        <v>3440</v>
      </c>
    </row>
    <row r="284" spans="1:5" ht="12.75">
      <c r="A284">
        <v>28006</v>
      </c>
      <c r="B284">
        <v>28</v>
      </c>
      <c r="C284" t="s">
        <v>32</v>
      </c>
      <c r="D284">
        <v>6</v>
      </c>
      <c r="E284">
        <v>3440</v>
      </c>
    </row>
    <row r="285" spans="1:5" ht="12.75">
      <c r="A285">
        <v>28007</v>
      </c>
      <c r="B285">
        <v>28</v>
      </c>
      <c r="C285" t="s">
        <v>32</v>
      </c>
      <c r="D285">
        <v>7</v>
      </c>
      <c r="E285">
        <v>3440</v>
      </c>
    </row>
    <row r="286" spans="1:5" ht="12.75">
      <c r="A286">
        <v>28008</v>
      </c>
      <c r="B286">
        <v>28</v>
      </c>
      <c r="C286" t="s">
        <v>32</v>
      </c>
      <c r="D286">
        <v>8</v>
      </c>
      <c r="E286">
        <v>3899</v>
      </c>
    </row>
    <row r="287" spans="1:5" ht="12.75">
      <c r="A287">
        <v>28009</v>
      </c>
      <c r="B287">
        <v>28</v>
      </c>
      <c r="C287" t="s">
        <v>32</v>
      </c>
      <c r="D287">
        <v>9</v>
      </c>
      <c r="E287">
        <v>3899</v>
      </c>
    </row>
    <row r="288" spans="1:5" ht="12.75">
      <c r="A288">
        <v>28010</v>
      </c>
      <c r="B288">
        <v>28</v>
      </c>
      <c r="C288" t="s">
        <v>32</v>
      </c>
      <c r="D288">
        <v>10</v>
      </c>
      <c r="E288">
        <v>3440</v>
      </c>
    </row>
    <row r="289" spans="1:5" ht="12.75">
      <c r="A289">
        <v>28011</v>
      </c>
      <c r="B289">
        <v>28</v>
      </c>
      <c r="C289" t="s">
        <v>32</v>
      </c>
      <c r="D289">
        <v>11</v>
      </c>
      <c r="E289">
        <v>3784</v>
      </c>
    </row>
    <row r="290" spans="1:5" ht="12.75">
      <c r="A290">
        <v>28012</v>
      </c>
      <c r="B290">
        <v>28</v>
      </c>
      <c r="C290" t="s">
        <v>32</v>
      </c>
      <c r="D290">
        <v>12</v>
      </c>
      <c r="E290">
        <v>3440</v>
      </c>
    </row>
    <row r="291" spans="1:5" ht="12.75">
      <c r="A291">
        <v>28013</v>
      </c>
      <c r="B291">
        <v>28</v>
      </c>
      <c r="C291" t="s">
        <v>32</v>
      </c>
      <c r="D291">
        <v>13</v>
      </c>
      <c r="E291">
        <v>3899</v>
      </c>
    </row>
    <row r="292" spans="1:5" ht="12.75">
      <c r="A292">
        <v>28014</v>
      </c>
      <c r="B292">
        <v>28</v>
      </c>
      <c r="C292" t="s">
        <v>32</v>
      </c>
      <c r="D292">
        <v>14</v>
      </c>
      <c r="E292">
        <v>3899</v>
      </c>
    </row>
    <row r="293" spans="1:5" ht="12.75">
      <c r="A293">
        <v>28015</v>
      </c>
      <c r="B293">
        <v>28</v>
      </c>
      <c r="C293" t="s">
        <v>32</v>
      </c>
      <c r="D293">
        <v>15</v>
      </c>
      <c r="E293">
        <v>3899</v>
      </c>
    </row>
    <row r="294" spans="1:5" ht="12.75">
      <c r="A294">
        <v>28016</v>
      </c>
      <c r="B294">
        <v>28</v>
      </c>
      <c r="C294" t="s">
        <v>32</v>
      </c>
      <c r="D294">
        <v>16</v>
      </c>
      <c r="E294">
        <v>3899</v>
      </c>
    </row>
    <row r="295" spans="1:5" ht="12.75">
      <c r="A295">
        <v>28017</v>
      </c>
      <c r="B295">
        <v>28</v>
      </c>
      <c r="C295" t="s">
        <v>32</v>
      </c>
      <c r="D295">
        <v>17</v>
      </c>
      <c r="E295">
        <v>3899</v>
      </c>
    </row>
    <row r="296" spans="1:5" ht="12.75">
      <c r="A296">
        <v>28018</v>
      </c>
      <c r="B296">
        <v>28</v>
      </c>
      <c r="C296" t="s">
        <v>32</v>
      </c>
      <c r="D296">
        <v>18</v>
      </c>
      <c r="E296">
        <v>3899</v>
      </c>
    </row>
    <row r="297" spans="1:5" ht="12.75">
      <c r="A297">
        <v>29001</v>
      </c>
      <c r="B297">
        <v>29</v>
      </c>
      <c r="C297" t="s">
        <v>33</v>
      </c>
      <c r="D297">
        <v>1</v>
      </c>
      <c r="E297">
        <v>1507</v>
      </c>
    </row>
    <row r="298" spans="1:5" ht="12.75">
      <c r="A298">
        <v>29002</v>
      </c>
      <c r="B298">
        <v>29</v>
      </c>
      <c r="C298" t="s">
        <v>33</v>
      </c>
      <c r="D298">
        <v>2</v>
      </c>
      <c r="E298">
        <v>1507</v>
      </c>
    </row>
    <row r="299" spans="1:5" ht="12.75">
      <c r="A299">
        <v>29003</v>
      </c>
      <c r="B299">
        <v>29</v>
      </c>
      <c r="C299" t="s">
        <v>33</v>
      </c>
      <c r="D299">
        <v>3</v>
      </c>
      <c r="E299">
        <v>1351</v>
      </c>
    </row>
    <row r="300" spans="1:5" ht="12.75">
      <c r="A300">
        <v>29004</v>
      </c>
      <c r="B300">
        <v>29</v>
      </c>
      <c r="C300" t="s">
        <v>33</v>
      </c>
      <c r="D300">
        <v>4</v>
      </c>
      <c r="E300">
        <v>1351</v>
      </c>
    </row>
    <row r="301" spans="1:5" ht="12.75">
      <c r="A301">
        <v>29005</v>
      </c>
      <c r="B301">
        <v>29</v>
      </c>
      <c r="C301" t="s">
        <v>33</v>
      </c>
      <c r="D301">
        <v>5</v>
      </c>
      <c r="E301">
        <v>1351</v>
      </c>
    </row>
    <row r="302" spans="1:5" ht="12.75">
      <c r="A302">
        <v>29006</v>
      </c>
      <c r="B302">
        <v>29</v>
      </c>
      <c r="C302" t="s">
        <v>33</v>
      </c>
      <c r="D302">
        <v>6</v>
      </c>
      <c r="E302">
        <v>1351</v>
      </c>
    </row>
    <row r="303" spans="1:5" ht="12.75">
      <c r="A303">
        <v>29007</v>
      </c>
      <c r="B303">
        <v>29</v>
      </c>
      <c r="C303" t="s">
        <v>33</v>
      </c>
      <c r="D303">
        <v>7</v>
      </c>
      <c r="E303">
        <v>1351</v>
      </c>
    </row>
    <row r="304" spans="1:5" ht="12.75">
      <c r="A304">
        <v>29008</v>
      </c>
      <c r="B304">
        <v>29</v>
      </c>
      <c r="C304" t="s">
        <v>33</v>
      </c>
      <c r="D304">
        <v>8</v>
      </c>
      <c r="E304">
        <v>1351</v>
      </c>
    </row>
    <row r="305" spans="1:5" ht="12.75">
      <c r="A305">
        <v>29009</v>
      </c>
      <c r="B305">
        <v>29</v>
      </c>
      <c r="C305" t="s">
        <v>33</v>
      </c>
      <c r="D305">
        <v>9</v>
      </c>
      <c r="E305">
        <v>1351</v>
      </c>
    </row>
    <row r="306" spans="1:5" ht="12.75">
      <c r="A306">
        <v>29010</v>
      </c>
      <c r="B306">
        <v>29</v>
      </c>
      <c r="C306" t="s">
        <v>33</v>
      </c>
      <c r="D306">
        <v>10</v>
      </c>
      <c r="E306">
        <v>1351</v>
      </c>
    </row>
    <row r="307" spans="1:5" ht="12.75">
      <c r="A307">
        <v>30001</v>
      </c>
      <c r="B307">
        <v>30</v>
      </c>
      <c r="C307" t="s">
        <v>34</v>
      </c>
      <c r="D307">
        <v>1</v>
      </c>
      <c r="E307">
        <v>7231</v>
      </c>
    </row>
    <row r="308" spans="1:5" ht="12.75">
      <c r="A308">
        <v>30002</v>
      </c>
      <c r="B308">
        <v>30</v>
      </c>
      <c r="C308" t="s">
        <v>34</v>
      </c>
      <c r="D308">
        <v>2</v>
      </c>
      <c r="E308">
        <v>7231</v>
      </c>
    </row>
    <row r="309" spans="1:5" ht="12.75">
      <c r="A309">
        <v>30003</v>
      </c>
      <c r="B309">
        <v>30</v>
      </c>
      <c r="C309" t="s">
        <v>34</v>
      </c>
      <c r="D309">
        <v>3</v>
      </c>
      <c r="E309">
        <v>7231</v>
      </c>
    </row>
    <row r="310" spans="1:5" ht="12.75">
      <c r="A310">
        <v>30006</v>
      </c>
      <c r="B310">
        <v>30</v>
      </c>
      <c r="C310" t="s">
        <v>34</v>
      </c>
      <c r="D310">
        <v>6</v>
      </c>
      <c r="E310">
        <v>7231</v>
      </c>
    </row>
    <row r="311" spans="1:5" ht="12.75">
      <c r="A311">
        <v>30008</v>
      </c>
      <c r="B311">
        <v>30</v>
      </c>
      <c r="C311" t="s">
        <v>34</v>
      </c>
      <c r="D311">
        <v>8</v>
      </c>
      <c r="E311">
        <v>7231</v>
      </c>
    </row>
    <row r="312" spans="1:5" ht="12.75">
      <c r="A312">
        <v>31001</v>
      </c>
      <c r="B312">
        <v>31</v>
      </c>
      <c r="C312" t="s">
        <v>35</v>
      </c>
      <c r="D312">
        <v>1</v>
      </c>
      <c r="E312">
        <v>3777</v>
      </c>
    </row>
    <row r="313" spans="1:5" ht="12.75">
      <c r="A313">
        <v>31002</v>
      </c>
      <c r="B313">
        <v>31</v>
      </c>
      <c r="C313" t="s">
        <v>35</v>
      </c>
      <c r="D313">
        <v>2</v>
      </c>
      <c r="E313">
        <v>3777</v>
      </c>
    </row>
    <row r="314" spans="1:5" ht="12.75">
      <c r="A314">
        <v>31003</v>
      </c>
      <c r="B314">
        <v>31</v>
      </c>
      <c r="C314" t="s">
        <v>35</v>
      </c>
      <c r="D314">
        <v>3</v>
      </c>
      <c r="E314">
        <v>3777</v>
      </c>
    </row>
    <row r="315" spans="1:5" ht="12.75">
      <c r="A315">
        <v>31004</v>
      </c>
      <c r="B315">
        <v>31</v>
      </c>
      <c r="C315" t="s">
        <v>35</v>
      </c>
      <c r="D315">
        <v>4</v>
      </c>
      <c r="E315">
        <v>3777</v>
      </c>
    </row>
    <row r="316" spans="1:5" ht="12.75">
      <c r="A316">
        <v>31005</v>
      </c>
      <c r="B316">
        <v>31</v>
      </c>
      <c r="C316" t="s">
        <v>35</v>
      </c>
      <c r="D316">
        <v>5</v>
      </c>
      <c r="E316">
        <v>3777</v>
      </c>
    </row>
    <row r="317" spans="1:5" ht="12.75">
      <c r="A317">
        <v>31006</v>
      </c>
      <c r="B317">
        <v>31</v>
      </c>
      <c r="C317" t="s">
        <v>35</v>
      </c>
      <c r="D317">
        <v>6</v>
      </c>
      <c r="E317">
        <v>3777</v>
      </c>
    </row>
    <row r="318" spans="1:5" ht="12.75">
      <c r="A318">
        <v>31007</v>
      </c>
      <c r="B318">
        <v>31</v>
      </c>
      <c r="C318" t="s">
        <v>35</v>
      </c>
      <c r="D318">
        <v>7</v>
      </c>
      <c r="E318">
        <v>3777</v>
      </c>
    </row>
    <row r="319" spans="1:5" ht="12.75">
      <c r="A319">
        <v>32001</v>
      </c>
      <c r="B319">
        <v>32</v>
      </c>
      <c r="C319" t="s">
        <v>36</v>
      </c>
      <c r="D319">
        <v>1</v>
      </c>
      <c r="E319">
        <v>4464</v>
      </c>
    </row>
    <row r="320" spans="1:5" ht="12.75">
      <c r="A320">
        <v>32002</v>
      </c>
      <c r="B320">
        <v>32</v>
      </c>
      <c r="C320" t="s">
        <v>36</v>
      </c>
      <c r="D320">
        <v>2</v>
      </c>
      <c r="E320">
        <v>4464</v>
      </c>
    </row>
    <row r="321" spans="1:5" ht="12.75">
      <c r="A321">
        <v>32003</v>
      </c>
      <c r="B321">
        <v>32</v>
      </c>
      <c r="C321" t="s">
        <v>36</v>
      </c>
      <c r="D321">
        <v>3</v>
      </c>
      <c r="E321">
        <v>4464</v>
      </c>
    </row>
    <row r="322" spans="1:5" ht="12.75">
      <c r="A322">
        <v>32004</v>
      </c>
      <c r="B322">
        <v>32</v>
      </c>
      <c r="C322" t="s">
        <v>36</v>
      </c>
      <c r="D322">
        <v>4</v>
      </c>
      <c r="E322">
        <v>4464</v>
      </c>
    </row>
    <row r="323" spans="1:5" ht="12.75">
      <c r="A323">
        <v>32005</v>
      </c>
      <c r="B323">
        <v>32</v>
      </c>
      <c r="C323" t="s">
        <v>36</v>
      </c>
      <c r="D323">
        <v>5</v>
      </c>
      <c r="E323">
        <v>4464</v>
      </c>
    </row>
    <row r="324" spans="1:5" ht="12.75">
      <c r="A324">
        <v>33001</v>
      </c>
      <c r="B324">
        <v>33</v>
      </c>
      <c r="C324" t="s">
        <v>37</v>
      </c>
      <c r="D324">
        <v>1</v>
      </c>
      <c r="E324">
        <v>3714</v>
      </c>
    </row>
    <row r="325" spans="1:5" ht="12.75">
      <c r="A325">
        <v>33002</v>
      </c>
      <c r="B325">
        <v>33</v>
      </c>
      <c r="C325" t="s">
        <v>37</v>
      </c>
      <c r="D325">
        <v>2</v>
      </c>
      <c r="E325">
        <v>3714</v>
      </c>
    </row>
    <row r="326" spans="1:5" ht="12.75">
      <c r="A326">
        <v>33003</v>
      </c>
      <c r="B326">
        <v>33</v>
      </c>
      <c r="C326" t="s">
        <v>37</v>
      </c>
      <c r="D326">
        <v>3</v>
      </c>
      <c r="E326">
        <v>3095</v>
      </c>
    </row>
    <row r="327" spans="1:5" ht="12.75">
      <c r="A327">
        <v>33004</v>
      </c>
      <c r="B327">
        <v>33</v>
      </c>
      <c r="C327" t="s">
        <v>37</v>
      </c>
      <c r="D327">
        <v>4</v>
      </c>
      <c r="E327">
        <v>2992</v>
      </c>
    </row>
    <row r="328" spans="1:5" ht="12.75">
      <c r="A328">
        <v>33005</v>
      </c>
      <c r="B328">
        <v>33</v>
      </c>
      <c r="C328" t="s">
        <v>37</v>
      </c>
      <c r="D328">
        <v>5</v>
      </c>
      <c r="E328">
        <v>2992</v>
      </c>
    </row>
    <row r="329" spans="1:5" ht="12.75">
      <c r="A329">
        <v>33006</v>
      </c>
      <c r="B329">
        <v>33</v>
      </c>
      <c r="C329" t="s">
        <v>37</v>
      </c>
      <c r="D329">
        <v>6</v>
      </c>
      <c r="E329">
        <v>2992</v>
      </c>
    </row>
    <row r="330" spans="1:5" ht="12.75">
      <c r="A330">
        <v>33007</v>
      </c>
      <c r="B330">
        <v>33</v>
      </c>
      <c r="C330" t="s">
        <v>37</v>
      </c>
      <c r="D330">
        <v>7</v>
      </c>
      <c r="E330">
        <v>3714</v>
      </c>
    </row>
    <row r="331" spans="1:5" ht="12.75">
      <c r="A331">
        <v>34001</v>
      </c>
      <c r="B331">
        <v>34</v>
      </c>
      <c r="C331" t="s">
        <v>38</v>
      </c>
      <c r="D331">
        <v>1</v>
      </c>
      <c r="E331">
        <v>1436</v>
      </c>
    </row>
    <row r="332" spans="1:5" ht="12.75">
      <c r="A332">
        <v>34002</v>
      </c>
      <c r="B332">
        <v>34</v>
      </c>
      <c r="C332" t="s">
        <v>38</v>
      </c>
      <c r="D332">
        <v>2</v>
      </c>
      <c r="E332">
        <v>1436</v>
      </c>
    </row>
    <row r="333" spans="1:5" ht="12.75">
      <c r="A333">
        <v>34003</v>
      </c>
      <c r="B333">
        <v>34</v>
      </c>
      <c r="C333" t="s">
        <v>38</v>
      </c>
      <c r="D333">
        <v>3</v>
      </c>
      <c r="E333">
        <v>1436</v>
      </c>
    </row>
    <row r="334" spans="1:5" ht="12.75">
      <c r="A334">
        <v>34004</v>
      </c>
      <c r="B334">
        <v>34</v>
      </c>
      <c r="C334" t="s">
        <v>38</v>
      </c>
      <c r="D334">
        <v>4</v>
      </c>
      <c r="E334">
        <v>1488</v>
      </c>
    </row>
    <row r="335" spans="1:5" ht="12.75">
      <c r="A335">
        <v>34005</v>
      </c>
      <c r="B335">
        <v>34</v>
      </c>
      <c r="C335" t="s">
        <v>38</v>
      </c>
      <c r="D335">
        <v>5</v>
      </c>
      <c r="E335">
        <v>1488</v>
      </c>
    </row>
    <row r="336" spans="1:5" ht="12.75">
      <c r="A336">
        <v>34006</v>
      </c>
      <c r="B336">
        <v>34</v>
      </c>
      <c r="C336" t="s">
        <v>38</v>
      </c>
      <c r="D336">
        <v>6</v>
      </c>
      <c r="E336">
        <v>1488</v>
      </c>
    </row>
    <row r="337" spans="1:5" ht="12.75">
      <c r="A337">
        <v>34007</v>
      </c>
      <c r="B337">
        <v>34</v>
      </c>
      <c r="C337" t="s">
        <v>38</v>
      </c>
      <c r="D337">
        <v>7</v>
      </c>
      <c r="E337">
        <v>1436</v>
      </c>
    </row>
    <row r="338" spans="1:5" ht="12.75">
      <c r="A338">
        <v>35001</v>
      </c>
      <c r="B338">
        <v>35</v>
      </c>
      <c r="C338" t="s">
        <v>39</v>
      </c>
      <c r="D338">
        <v>1</v>
      </c>
      <c r="E338">
        <v>3545</v>
      </c>
    </row>
    <row r="339" spans="1:5" ht="12.75">
      <c r="A339">
        <v>35002</v>
      </c>
      <c r="B339">
        <v>35</v>
      </c>
      <c r="C339" t="s">
        <v>39</v>
      </c>
      <c r="D339">
        <v>2</v>
      </c>
      <c r="E339">
        <v>2954</v>
      </c>
    </row>
    <row r="340" spans="1:5" ht="12.75">
      <c r="A340">
        <v>35003</v>
      </c>
      <c r="B340">
        <v>35</v>
      </c>
      <c r="C340" t="s">
        <v>39</v>
      </c>
      <c r="D340">
        <v>3</v>
      </c>
      <c r="E340">
        <v>3545</v>
      </c>
    </row>
    <row r="341" spans="1:5" ht="12.75">
      <c r="A341">
        <v>35004</v>
      </c>
      <c r="B341">
        <v>35</v>
      </c>
      <c r="C341" t="s">
        <v>39</v>
      </c>
      <c r="D341">
        <v>4</v>
      </c>
      <c r="E341">
        <v>3545</v>
      </c>
    </row>
    <row r="342" spans="1:5" ht="12.75">
      <c r="A342">
        <v>35005</v>
      </c>
      <c r="B342">
        <v>35</v>
      </c>
      <c r="C342" t="s">
        <v>39</v>
      </c>
      <c r="D342">
        <v>5</v>
      </c>
      <c r="E342">
        <v>3545</v>
      </c>
    </row>
    <row r="343" spans="1:5" ht="12.75">
      <c r="A343">
        <v>35006</v>
      </c>
      <c r="B343">
        <v>35</v>
      </c>
      <c r="C343" t="s">
        <v>39</v>
      </c>
      <c r="D343">
        <v>6</v>
      </c>
      <c r="E343">
        <v>3447</v>
      </c>
    </row>
    <row r="344" spans="1:5" ht="12.75">
      <c r="A344">
        <v>35007</v>
      </c>
      <c r="B344">
        <v>35</v>
      </c>
      <c r="C344" t="s">
        <v>39</v>
      </c>
      <c r="D344">
        <v>7</v>
      </c>
      <c r="E344">
        <v>3447</v>
      </c>
    </row>
    <row r="345" spans="1:5" ht="12.75">
      <c r="A345">
        <v>35008</v>
      </c>
      <c r="B345">
        <v>35</v>
      </c>
      <c r="C345" t="s">
        <v>39</v>
      </c>
      <c r="D345">
        <v>8</v>
      </c>
      <c r="E345">
        <v>3348</v>
      </c>
    </row>
    <row r="346" spans="1:5" ht="12.75">
      <c r="A346">
        <v>36001</v>
      </c>
      <c r="B346">
        <v>36</v>
      </c>
      <c r="C346" t="s">
        <v>40</v>
      </c>
      <c r="D346">
        <v>1</v>
      </c>
      <c r="E346">
        <v>1903</v>
      </c>
    </row>
    <row r="347" spans="1:5" ht="12.75">
      <c r="A347">
        <v>36002</v>
      </c>
      <c r="B347">
        <v>36</v>
      </c>
      <c r="C347" t="s">
        <v>40</v>
      </c>
      <c r="D347">
        <v>2</v>
      </c>
      <c r="E347">
        <v>1903</v>
      </c>
    </row>
    <row r="348" spans="1:5" ht="12.75">
      <c r="A348">
        <v>36003</v>
      </c>
      <c r="B348">
        <v>36</v>
      </c>
      <c r="C348" t="s">
        <v>40</v>
      </c>
      <c r="D348">
        <v>3</v>
      </c>
      <c r="E348">
        <v>1631</v>
      </c>
    </row>
    <row r="349" spans="1:5" ht="12.75">
      <c r="A349">
        <v>36004</v>
      </c>
      <c r="B349">
        <v>36</v>
      </c>
      <c r="C349" t="s">
        <v>40</v>
      </c>
      <c r="D349">
        <v>4</v>
      </c>
      <c r="E349">
        <v>1631</v>
      </c>
    </row>
    <row r="350" spans="1:5" ht="12.75">
      <c r="A350">
        <v>36005</v>
      </c>
      <c r="B350">
        <v>36</v>
      </c>
      <c r="C350" t="s">
        <v>40</v>
      </c>
      <c r="D350">
        <v>5</v>
      </c>
      <c r="E350">
        <v>1971</v>
      </c>
    </row>
    <row r="351" spans="1:5" ht="12.75">
      <c r="A351">
        <v>36006</v>
      </c>
      <c r="B351">
        <v>36</v>
      </c>
      <c r="C351" t="s">
        <v>40</v>
      </c>
      <c r="D351">
        <v>6</v>
      </c>
      <c r="E351">
        <v>1903</v>
      </c>
    </row>
    <row r="352" spans="1:5" ht="12.75">
      <c r="A352">
        <v>36007</v>
      </c>
      <c r="B352">
        <v>36</v>
      </c>
      <c r="C352" t="s">
        <v>40</v>
      </c>
      <c r="D352">
        <v>7</v>
      </c>
      <c r="E352">
        <v>1631</v>
      </c>
    </row>
    <row r="353" spans="1:5" ht="12.75">
      <c r="A353">
        <v>37001</v>
      </c>
      <c r="B353">
        <v>37</v>
      </c>
      <c r="C353" t="s">
        <v>41</v>
      </c>
      <c r="D353">
        <v>1</v>
      </c>
      <c r="E353">
        <v>1339</v>
      </c>
    </row>
    <row r="354" spans="1:5" ht="12.75">
      <c r="A354">
        <v>37002</v>
      </c>
      <c r="B354">
        <v>37</v>
      </c>
      <c r="C354" t="s">
        <v>41</v>
      </c>
      <c r="D354">
        <v>2</v>
      </c>
      <c r="E354">
        <v>1339</v>
      </c>
    </row>
    <row r="355" spans="1:5" ht="12.75">
      <c r="A355">
        <v>37003</v>
      </c>
      <c r="B355">
        <v>37</v>
      </c>
      <c r="C355" t="s">
        <v>41</v>
      </c>
      <c r="D355">
        <v>3</v>
      </c>
      <c r="E355">
        <v>1339</v>
      </c>
    </row>
    <row r="356" spans="1:5" ht="12.75">
      <c r="A356">
        <v>37004</v>
      </c>
      <c r="B356">
        <v>37</v>
      </c>
      <c r="C356" t="s">
        <v>41</v>
      </c>
      <c r="D356">
        <v>4</v>
      </c>
      <c r="E356">
        <v>1339</v>
      </c>
    </row>
    <row r="357" spans="1:5" ht="12.75">
      <c r="A357">
        <v>37005</v>
      </c>
      <c r="B357">
        <v>37</v>
      </c>
      <c r="C357" t="s">
        <v>41</v>
      </c>
      <c r="D357">
        <v>5</v>
      </c>
      <c r="E357">
        <v>1339</v>
      </c>
    </row>
    <row r="358" spans="1:5" ht="12.75">
      <c r="A358">
        <v>37006</v>
      </c>
      <c r="B358">
        <v>37</v>
      </c>
      <c r="C358" t="s">
        <v>41</v>
      </c>
      <c r="D358">
        <v>6</v>
      </c>
      <c r="E358">
        <v>1339</v>
      </c>
    </row>
    <row r="359" spans="1:5" ht="12.75">
      <c r="A359">
        <v>37007</v>
      </c>
      <c r="B359">
        <v>37</v>
      </c>
      <c r="C359" t="s">
        <v>41</v>
      </c>
      <c r="D359">
        <v>7</v>
      </c>
      <c r="E359">
        <v>1339</v>
      </c>
    </row>
    <row r="360" spans="1:5" ht="12.75">
      <c r="A360">
        <v>37008</v>
      </c>
      <c r="B360">
        <v>37</v>
      </c>
      <c r="C360" t="s">
        <v>41</v>
      </c>
      <c r="D360">
        <v>8</v>
      </c>
      <c r="E360">
        <v>1339</v>
      </c>
    </row>
    <row r="361" spans="1:5" ht="12.75">
      <c r="A361">
        <v>37009</v>
      </c>
      <c r="B361">
        <v>37</v>
      </c>
      <c r="C361" t="s">
        <v>41</v>
      </c>
      <c r="D361">
        <v>9</v>
      </c>
      <c r="E361">
        <v>1339</v>
      </c>
    </row>
    <row r="362" spans="1:5" ht="12.75">
      <c r="A362">
        <v>37010</v>
      </c>
      <c r="B362">
        <v>37</v>
      </c>
      <c r="C362" t="s">
        <v>41</v>
      </c>
      <c r="D362">
        <v>10</v>
      </c>
      <c r="E362">
        <v>1339</v>
      </c>
    </row>
    <row r="363" spans="1:5" ht="12.75">
      <c r="A363">
        <v>37011</v>
      </c>
      <c r="B363">
        <v>37</v>
      </c>
      <c r="C363" t="s">
        <v>41</v>
      </c>
      <c r="D363">
        <v>11</v>
      </c>
      <c r="E363">
        <v>1339</v>
      </c>
    </row>
    <row r="364" spans="1:5" ht="12.75">
      <c r="A364">
        <v>38001</v>
      </c>
      <c r="B364">
        <v>38</v>
      </c>
      <c r="C364" t="s">
        <v>42</v>
      </c>
      <c r="D364">
        <v>1</v>
      </c>
      <c r="E364">
        <v>3545</v>
      </c>
    </row>
    <row r="365" spans="1:5" ht="12.75">
      <c r="A365">
        <v>38002</v>
      </c>
      <c r="B365">
        <v>38</v>
      </c>
      <c r="C365" t="s">
        <v>42</v>
      </c>
      <c r="D365">
        <v>2</v>
      </c>
      <c r="E365">
        <v>3545</v>
      </c>
    </row>
    <row r="366" spans="1:5" ht="12.75">
      <c r="A366">
        <v>38003</v>
      </c>
      <c r="B366">
        <v>38</v>
      </c>
      <c r="C366" t="s">
        <v>42</v>
      </c>
      <c r="D366">
        <v>3</v>
      </c>
      <c r="E366">
        <v>3545</v>
      </c>
    </row>
    <row r="367" spans="1:5" ht="12.75">
      <c r="A367">
        <v>38004</v>
      </c>
      <c r="B367">
        <v>38</v>
      </c>
      <c r="C367" t="s">
        <v>42</v>
      </c>
      <c r="D367">
        <v>4</v>
      </c>
      <c r="E367">
        <v>3545</v>
      </c>
    </row>
    <row r="368" spans="1:5" ht="12.75">
      <c r="A368">
        <v>38005</v>
      </c>
      <c r="B368">
        <v>38</v>
      </c>
      <c r="C368" t="s">
        <v>42</v>
      </c>
      <c r="D368">
        <v>5</v>
      </c>
      <c r="E368">
        <v>3545</v>
      </c>
    </row>
    <row r="369" spans="1:5" ht="12.75">
      <c r="A369">
        <v>38006</v>
      </c>
      <c r="B369">
        <v>38</v>
      </c>
      <c r="C369" t="s">
        <v>42</v>
      </c>
      <c r="D369">
        <v>6</v>
      </c>
      <c r="E369">
        <v>3545</v>
      </c>
    </row>
    <row r="370" spans="1:5" ht="12.75">
      <c r="A370">
        <v>38007</v>
      </c>
      <c r="B370">
        <v>38</v>
      </c>
      <c r="C370" t="s">
        <v>42</v>
      </c>
      <c r="D370">
        <v>7</v>
      </c>
      <c r="E370">
        <v>3545</v>
      </c>
    </row>
    <row r="371" spans="1:5" ht="12.75">
      <c r="A371">
        <v>38008</v>
      </c>
      <c r="B371">
        <v>38</v>
      </c>
      <c r="C371" t="s">
        <v>42</v>
      </c>
      <c r="D371">
        <v>8</v>
      </c>
      <c r="E371">
        <v>3545</v>
      </c>
    </row>
    <row r="372" spans="1:5" ht="12.75">
      <c r="A372">
        <v>38009</v>
      </c>
      <c r="B372">
        <v>38</v>
      </c>
      <c r="C372" t="s">
        <v>42</v>
      </c>
      <c r="D372">
        <v>9</v>
      </c>
      <c r="E372">
        <v>3545</v>
      </c>
    </row>
    <row r="373" spans="1:5" ht="12.75">
      <c r="A373">
        <v>38010</v>
      </c>
      <c r="B373">
        <v>38</v>
      </c>
      <c r="C373" t="s">
        <v>42</v>
      </c>
      <c r="D373">
        <v>10</v>
      </c>
      <c r="E373">
        <v>3545</v>
      </c>
    </row>
    <row r="374" spans="1:5" ht="12.75">
      <c r="A374">
        <v>38011</v>
      </c>
      <c r="B374">
        <v>38</v>
      </c>
      <c r="C374" t="s">
        <v>42</v>
      </c>
      <c r="D374">
        <v>11</v>
      </c>
      <c r="E374">
        <v>3545</v>
      </c>
    </row>
    <row r="375" spans="1:5" ht="12.75">
      <c r="A375">
        <v>39001</v>
      </c>
      <c r="B375">
        <v>39</v>
      </c>
      <c r="C375" t="s">
        <v>43</v>
      </c>
      <c r="D375">
        <v>1</v>
      </c>
      <c r="E375">
        <v>1574</v>
      </c>
    </row>
    <row r="376" spans="1:5" ht="12.75">
      <c r="A376">
        <v>39002</v>
      </c>
      <c r="B376">
        <v>39</v>
      </c>
      <c r="C376" t="s">
        <v>43</v>
      </c>
      <c r="D376">
        <v>2</v>
      </c>
      <c r="E376">
        <v>1574</v>
      </c>
    </row>
    <row r="377" spans="1:5" ht="12.75">
      <c r="A377">
        <v>39003</v>
      </c>
      <c r="B377">
        <v>39</v>
      </c>
      <c r="C377" t="s">
        <v>43</v>
      </c>
      <c r="D377">
        <v>3</v>
      </c>
      <c r="E377">
        <v>1453</v>
      </c>
    </row>
    <row r="378" spans="1:5" ht="12.75">
      <c r="A378">
        <v>39004</v>
      </c>
      <c r="B378">
        <v>39</v>
      </c>
      <c r="C378" t="s">
        <v>43</v>
      </c>
      <c r="D378">
        <v>4</v>
      </c>
      <c r="E378">
        <v>1453</v>
      </c>
    </row>
    <row r="379" spans="1:5" ht="12.75">
      <c r="A379">
        <v>39005</v>
      </c>
      <c r="B379">
        <v>39</v>
      </c>
      <c r="C379" t="s">
        <v>43</v>
      </c>
      <c r="D379">
        <v>5</v>
      </c>
      <c r="E379">
        <v>1453</v>
      </c>
    </row>
    <row r="380" spans="1:5" ht="12.75">
      <c r="A380">
        <v>39006</v>
      </c>
      <c r="B380">
        <v>39</v>
      </c>
      <c r="C380" t="s">
        <v>43</v>
      </c>
      <c r="D380">
        <v>6</v>
      </c>
      <c r="E380">
        <v>1695</v>
      </c>
    </row>
    <row r="381" spans="1:5" ht="12.75">
      <c r="A381">
        <v>39007</v>
      </c>
      <c r="B381">
        <v>39</v>
      </c>
      <c r="C381" t="s">
        <v>43</v>
      </c>
      <c r="D381">
        <v>7</v>
      </c>
      <c r="E381">
        <v>1574</v>
      </c>
    </row>
    <row r="382" spans="1:5" ht="12.75">
      <c r="A382">
        <v>40001</v>
      </c>
      <c r="B382">
        <v>40</v>
      </c>
      <c r="C382" t="s">
        <v>44</v>
      </c>
      <c r="D382">
        <v>1</v>
      </c>
      <c r="E382">
        <v>1569</v>
      </c>
    </row>
    <row r="383" spans="1:5" ht="12.75">
      <c r="A383">
        <v>40002</v>
      </c>
      <c r="B383">
        <v>40</v>
      </c>
      <c r="C383" t="s">
        <v>44</v>
      </c>
      <c r="D383">
        <v>2</v>
      </c>
      <c r="E383">
        <v>1517</v>
      </c>
    </row>
    <row r="384" spans="1:5" ht="12.75">
      <c r="A384">
        <v>40003</v>
      </c>
      <c r="B384">
        <v>40</v>
      </c>
      <c r="C384" t="s">
        <v>44</v>
      </c>
      <c r="D384">
        <v>3</v>
      </c>
      <c r="E384">
        <v>1517</v>
      </c>
    </row>
    <row r="385" spans="1:5" ht="12.75">
      <c r="A385">
        <v>40004</v>
      </c>
      <c r="B385">
        <v>40</v>
      </c>
      <c r="C385" t="s">
        <v>44</v>
      </c>
      <c r="D385">
        <v>4</v>
      </c>
      <c r="E385">
        <v>1517</v>
      </c>
    </row>
    <row r="386" spans="1:5" ht="12.75">
      <c r="A386">
        <v>40005</v>
      </c>
      <c r="B386">
        <v>40</v>
      </c>
      <c r="C386" t="s">
        <v>44</v>
      </c>
      <c r="D386">
        <v>5</v>
      </c>
      <c r="E386">
        <v>1517</v>
      </c>
    </row>
    <row r="387" spans="1:5" ht="12.75">
      <c r="A387">
        <v>40006</v>
      </c>
      <c r="B387">
        <v>40</v>
      </c>
      <c r="C387" t="s">
        <v>44</v>
      </c>
      <c r="D387">
        <v>6</v>
      </c>
      <c r="E387">
        <v>1779</v>
      </c>
    </row>
    <row r="388" spans="1:5" ht="12.75">
      <c r="A388">
        <v>40007</v>
      </c>
      <c r="B388">
        <v>40</v>
      </c>
      <c r="C388" t="s">
        <v>44</v>
      </c>
      <c r="D388">
        <v>7</v>
      </c>
      <c r="E388">
        <v>1779</v>
      </c>
    </row>
    <row r="389" spans="1:5" ht="12.75">
      <c r="A389">
        <v>40008</v>
      </c>
      <c r="B389">
        <v>40</v>
      </c>
      <c r="C389" t="s">
        <v>44</v>
      </c>
      <c r="D389">
        <v>8</v>
      </c>
      <c r="E389">
        <v>1779</v>
      </c>
    </row>
    <row r="390" spans="1:5" ht="12.75">
      <c r="A390">
        <v>40009</v>
      </c>
      <c r="B390">
        <v>40</v>
      </c>
      <c r="C390" t="s">
        <v>44</v>
      </c>
      <c r="D390">
        <v>9</v>
      </c>
      <c r="E390">
        <v>1569</v>
      </c>
    </row>
    <row r="391" spans="1:5" ht="12.75">
      <c r="A391">
        <v>40010</v>
      </c>
      <c r="B391">
        <v>40</v>
      </c>
      <c r="C391" t="s">
        <v>44</v>
      </c>
      <c r="D391">
        <v>10</v>
      </c>
      <c r="E391">
        <v>1726</v>
      </c>
    </row>
    <row r="392" spans="1:5" ht="12.75">
      <c r="A392">
        <v>40011</v>
      </c>
      <c r="B392">
        <v>40</v>
      </c>
      <c r="C392" t="s">
        <v>44</v>
      </c>
      <c r="D392">
        <v>11</v>
      </c>
      <c r="E392">
        <v>1517</v>
      </c>
    </row>
    <row r="393" spans="1:5" ht="12.75">
      <c r="A393">
        <v>40012</v>
      </c>
      <c r="B393">
        <v>40</v>
      </c>
      <c r="C393" t="s">
        <v>44</v>
      </c>
      <c r="D393">
        <v>12</v>
      </c>
      <c r="E393">
        <v>1517</v>
      </c>
    </row>
    <row r="394" spans="1:5" ht="12.75">
      <c r="A394">
        <v>40013</v>
      </c>
      <c r="B394">
        <v>40</v>
      </c>
      <c r="C394" t="s">
        <v>44</v>
      </c>
      <c r="D394">
        <v>13</v>
      </c>
      <c r="E394">
        <v>1569</v>
      </c>
    </row>
    <row r="395" spans="1:5" ht="12.75">
      <c r="A395">
        <v>41002</v>
      </c>
      <c r="B395">
        <v>41</v>
      </c>
      <c r="C395" t="s">
        <v>45</v>
      </c>
      <c r="D395">
        <v>2</v>
      </c>
      <c r="E395">
        <v>2435</v>
      </c>
    </row>
    <row r="396" spans="1:5" ht="12.75">
      <c r="A396">
        <v>41003</v>
      </c>
      <c r="B396">
        <v>41</v>
      </c>
      <c r="C396" t="s">
        <v>45</v>
      </c>
      <c r="D396">
        <v>3</v>
      </c>
      <c r="E396">
        <v>2435</v>
      </c>
    </row>
    <row r="397" spans="1:5" ht="12.75">
      <c r="A397">
        <v>41004</v>
      </c>
      <c r="B397">
        <v>41</v>
      </c>
      <c r="C397" t="s">
        <v>45</v>
      </c>
      <c r="D397">
        <v>4</v>
      </c>
      <c r="E397">
        <v>2435</v>
      </c>
    </row>
    <row r="398" spans="1:5" ht="12.75">
      <c r="A398">
        <v>41005</v>
      </c>
      <c r="B398">
        <v>41</v>
      </c>
      <c r="C398" t="s">
        <v>45</v>
      </c>
      <c r="D398">
        <v>5</v>
      </c>
      <c r="E398">
        <v>2435</v>
      </c>
    </row>
    <row r="399" spans="1:5" ht="12.75">
      <c r="A399">
        <v>41006</v>
      </c>
      <c r="B399">
        <v>41</v>
      </c>
      <c r="C399" t="s">
        <v>45</v>
      </c>
      <c r="D399">
        <v>6</v>
      </c>
      <c r="E399">
        <v>2435</v>
      </c>
    </row>
    <row r="400" spans="1:5" ht="12.75">
      <c r="A400">
        <v>41007</v>
      </c>
      <c r="B400">
        <v>41</v>
      </c>
      <c r="C400" t="s">
        <v>45</v>
      </c>
      <c r="D400">
        <v>7</v>
      </c>
      <c r="E400">
        <v>2435</v>
      </c>
    </row>
    <row r="401" spans="1:5" ht="12.75">
      <c r="A401">
        <v>42001</v>
      </c>
      <c r="B401">
        <v>42</v>
      </c>
      <c r="C401" t="s">
        <v>46</v>
      </c>
      <c r="D401">
        <v>1</v>
      </c>
      <c r="E401">
        <v>1453</v>
      </c>
    </row>
    <row r="402" spans="1:5" ht="12.75">
      <c r="A402">
        <v>42002</v>
      </c>
      <c r="B402">
        <v>42</v>
      </c>
      <c r="C402" t="s">
        <v>46</v>
      </c>
      <c r="D402">
        <v>2</v>
      </c>
      <c r="E402">
        <v>1453</v>
      </c>
    </row>
    <row r="403" spans="1:5" ht="12.75">
      <c r="A403">
        <v>42003</v>
      </c>
      <c r="B403">
        <v>42</v>
      </c>
      <c r="C403" t="s">
        <v>46</v>
      </c>
      <c r="D403">
        <v>3</v>
      </c>
      <c r="E403">
        <v>1453</v>
      </c>
    </row>
    <row r="404" spans="1:5" ht="12.75">
      <c r="A404">
        <v>42004</v>
      </c>
      <c r="B404">
        <v>42</v>
      </c>
      <c r="C404" t="s">
        <v>46</v>
      </c>
      <c r="D404">
        <v>4</v>
      </c>
      <c r="E404">
        <v>1453</v>
      </c>
    </row>
    <row r="405" spans="1:5" ht="12.75">
      <c r="A405">
        <v>42005</v>
      </c>
      <c r="B405">
        <v>42</v>
      </c>
      <c r="C405" t="s">
        <v>46</v>
      </c>
      <c r="D405">
        <v>5</v>
      </c>
      <c r="E405">
        <v>1453</v>
      </c>
    </row>
    <row r="406" spans="1:5" ht="12.75">
      <c r="A406">
        <v>42006</v>
      </c>
      <c r="B406">
        <v>42</v>
      </c>
      <c r="C406" t="s">
        <v>46</v>
      </c>
      <c r="D406">
        <v>6</v>
      </c>
      <c r="E406">
        <v>1453</v>
      </c>
    </row>
    <row r="407" spans="1:5" ht="12.75">
      <c r="A407">
        <v>42007</v>
      </c>
      <c r="B407">
        <v>42</v>
      </c>
      <c r="C407" t="s">
        <v>46</v>
      </c>
      <c r="D407">
        <v>7</v>
      </c>
      <c r="E407">
        <v>1453</v>
      </c>
    </row>
    <row r="408" spans="1:5" ht="12.75">
      <c r="A408">
        <v>42008</v>
      </c>
      <c r="B408">
        <v>42</v>
      </c>
      <c r="C408" t="s">
        <v>46</v>
      </c>
      <c r="D408">
        <v>8</v>
      </c>
      <c r="E408">
        <v>1453</v>
      </c>
    </row>
    <row r="409" spans="1:5" ht="12.75">
      <c r="A409">
        <v>42009</v>
      </c>
      <c r="B409">
        <v>42</v>
      </c>
      <c r="C409" t="s">
        <v>46</v>
      </c>
      <c r="D409">
        <v>9</v>
      </c>
      <c r="E409">
        <v>1453</v>
      </c>
    </row>
    <row r="410" spans="1:5" ht="12.75">
      <c r="A410">
        <v>42010</v>
      </c>
      <c r="B410">
        <v>42</v>
      </c>
      <c r="C410" t="s">
        <v>46</v>
      </c>
      <c r="D410">
        <v>10</v>
      </c>
      <c r="E410">
        <v>1574</v>
      </c>
    </row>
    <row r="411" spans="1:5" ht="12.75">
      <c r="A411">
        <v>43001</v>
      </c>
      <c r="B411">
        <v>43</v>
      </c>
      <c r="C411" t="s">
        <v>47</v>
      </c>
      <c r="D411">
        <v>1</v>
      </c>
      <c r="E411">
        <v>1609</v>
      </c>
    </row>
    <row r="412" spans="1:5" ht="12.75">
      <c r="A412">
        <v>43002</v>
      </c>
      <c r="B412">
        <v>43</v>
      </c>
      <c r="C412" t="s">
        <v>47</v>
      </c>
      <c r="D412">
        <v>2</v>
      </c>
      <c r="E412">
        <v>1609</v>
      </c>
    </row>
    <row r="413" spans="1:5" ht="12.75">
      <c r="A413">
        <v>43003</v>
      </c>
      <c r="B413">
        <v>43</v>
      </c>
      <c r="C413" t="s">
        <v>47</v>
      </c>
      <c r="D413">
        <v>3</v>
      </c>
      <c r="E413">
        <v>1930</v>
      </c>
    </row>
    <row r="414" spans="1:5" ht="12.75">
      <c r="A414">
        <v>43004</v>
      </c>
      <c r="B414">
        <v>43</v>
      </c>
      <c r="C414" t="s">
        <v>47</v>
      </c>
      <c r="D414">
        <v>4</v>
      </c>
      <c r="E414">
        <v>1930</v>
      </c>
    </row>
    <row r="415" spans="1:5" ht="12.75">
      <c r="A415">
        <v>43005</v>
      </c>
      <c r="B415">
        <v>43</v>
      </c>
      <c r="C415" t="s">
        <v>47</v>
      </c>
      <c r="D415">
        <v>5</v>
      </c>
      <c r="E415">
        <v>1930</v>
      </c>
    </row>
    <row r="416" spans="1:5" ht="12.75">
      <c r="A416">
        <v>43006</v>
      </c>
      <c r="B416">
        <v>43</v>
      </c>
      <c r="C416" t="s">
        <v>47</v>
      </c>
      <c r="D416">
        <v>6</v>
      </c>
      <c r="E416">
        <v>1823</v>
      </c>
    </row>
    <row r="417" spans="1:5" ht="12.75">
      <c r="A417">
        <v>43007</v>
      </c>
      <c r="B417">
        <v>43</v>
      </c>
      <c r="C417" t="s">
        <v>47</v>
      </c>
      <c r="D417">
        <v>7</v>
      </c>
      <c r="E417">
        <v>1823</v>
      </c>
    </row>
    <row r="418" spans="1:5" ht="12.75">
      <c r="A418">
        <v>43008</v>
      </c>
      <c r="B418">
        <v>43</v>
      </c>
      <c r="C418" t="s">
        <v>47</v>
      </c>
      <c r="D418">
        <v>8</v>
      </c>
      <c r="E418">
        <v>1930</v>
      </c>
    </row>
    <row r="419" spans="1:5" ht="12.75">
      <c r="A419">
        <v>44002</v>
      </c>
      <c r="B419">
        <v>44</v>
      </c>
      <c r="C419" t="s">
        <v>48</v>
      </c>
      <c r="D419">
        <v>2</v>
      </c>
      <c r="E419">
        <v>2421</v>
      </c>
    </row>
    <row r="420" spans="1:5" ht="12.75">
      <c r="A420">
        <v>44003</v>
      </c>
      <c r="B420">
        <v>44</v>
      </c>
      <c r="C420" t="s">
        <v>48</v>
      </c>
      <c r="D420">
        <v>3</v>
      </c>
      <c r="E420">
        <v>2201</v>
      </c>
    </row>
    <row r="421" spans="1:5" ht="12.75">
      <c r="A421">
        <v>44004</v>
      </c>
      <c r="B421">
        <v>44</v>
      </c>
      <c r="C421" t="s">
        <v>48</v>
      </c>
      <c r="D421">
        <v>4</v>
      </c>
      <c r="E421">
        <v>2494</v>
      </c>
    </row>
    <row r="422" spans="1:5" ht="12.75">
      <c r="A422">
        <v>44005</v>
      </c>
      <c r="B422">
        <v>44</v>
      </c>
      <c r="C422" t="s">
        <v>48</v>
      </c>
      <c r="D422">
        <v>5</v>
      </c>
      <c r="E422">
        <v>2127</v>
      </c>
    </row>
    <row r="423" spans="1:5" ht="12.75">
      <c r="A423">
        <v>44006</v>
      </c>
      <c r="B423">
        <v>44</v>
      </c>
      <c r="C423" t="s">
        <v>48</v>
      </c>
      <c r="D423">
        <v>6</v>
      </c>
      <c r="E423">
        <v>2127</v>
      </c>
    </row>
    <row r="424" spans="1:5" ht="12.75">
      <c r="A424">
        <v>44007</v>
      </c>
      <c r="B424">
        <v>44</v>
      </c>
      <c r="C424" t="s">
        <v>48</v>
      </c>
      <c r="D424">
        <v>7</v>
      </c>
      <c r="E424">
        <v>2494</v>
      </c>
    </row>
    <row r="425" spans="1:5" ht="12.75">
      <c r="A425">
        <v>44008</v>
      </c>
      <c r="B425">
        <v>44</v>
      </c>
      <c r="C425" t="s">
        <v>48</v>
      </c>
      <c r="D425">
        <v>8</v>
      </c>
      <c r="E425">
        <v>2127</v>
      </c>
    </row>
    <row r="426" spans="1:5" ht="12.75">
      <c r="A426">
        <v>44009</v>
      </c>
      <c r="B426">
        <v>44</v>
      </c>
      <c r="C426" t="s">
        <v>48</v>
      </c>
      <c r="D426">
        <v>9</v>
      </c>
      <c r="E426">
        <v>2201</v>
      </c>
    </row>
    <row r="427" spans="1:5" ht="12.75">
      <c r="A427">
        <v>44010</v>
      </c>
      <c r="B427">
        <v>44</v>
      </c>
      <c r="C427" t="s">
        <v>48</v>
      </c>
      <c r="D427">
        <v>10</v>
      </c>
      <c r="E427">
        <v>2127</v>
      </c>
    </row>
    <row r="428" spans="1:5" ht="12.75">
      <c r="A428">
        <v>44011</v>
      </c>
      <c r="B428">
        <v>44</v>
      </c>
      <c r="C428" t="s">
        <v>48</v>
      </c>
      <c r="D428">
        <v>11</v>
      </c>
      <c r="E428">
        <v>1907</v>
      </c>
    </row>
    <row r="429" spans="1:5" ht="12.75">
      <c r="A429">
        <v>44012</v>
      </c>
      <c r="B429">
        <v>44</v>
      </c>
      <c r="C429" t="s">
        <v>48</v>
      </c>
      <c r="D429">
        <v>12</v>
      </c>
      <c r="E429">
        <v>2201</v>
      </c>
    </row>
    <row r="430" spans="1:5" ht="12.75">
      <c r="A430">
        <v>45001</v>
      </c>
      <c r="B430">
        <v>45</v>
      </c>
      <c r="C430" t="s">
        <v>49</v>
      </c>
      <c r="D430">
        <v>1</v>
      </c>
      <c r="E430">
        <v>3824</v>
      </c>
    </row>
    <row r="431" spans="1:5" ht="12.75">
      <c r="A431">
        <v>45002</v>
      </c>
      <c r="B431">
        <v>45</v>
      </c>
      <c r="C431" t="s">
        <v>49</v>
      </c>
      <c r="D431">
        <v>2</v>
      </c>
      <c r="E431">
        <v>3278</v>
      </c>
    </row>
    <row r="432" spans="1:5" ht="12.75">
      <c r="A432">
        <v>45003</v>
      </c>
      <c r="B432">
        <v>45</v>
      </c>
      <c r="C432" t="s">
        <v>49</v>
      </c>
      <c r="D432">
        <v>3</v>
      </c>
      <c r="E432">
        <v>3059</v>
      </c>
    </row>
    <row r="433" spans="1:5" ht="12.75">
      <c r="A433">
        <v>45004</v>
      </c>
      <c r="B433">
        <v>45</v>
      </c>
      <c r="C433" t="s">
        <v>49</v>
      </c>
      <c r="D433">
        <v>4</v>
      </c>
      <c r="E433">
        <v>3824</v>
      </c>
    </row>
    <row r="434" spans="1:5" ht="12.75">
      <c r="A434">
        <v>45005</v>
      </c>
      <c r="B434">
        <v>45</v>
      </c>
      <c r="C434" t="s">
        <v>49</v>
      </c>
      <c r="D434">
        <v>5</v>
      </c>
      <c r="E434">
        <v>3169</v>
      </c>
    </row>
    <row r="435" spans="1:5" ht="12.75">
      <c r="A435">
        <v>45006</v>
      </c>
      <c r="B435">
        <v>45</v>
      </c>
      <c r="C435" t="s">
        <v>49</v>
      </c>
      <c r="D435">
        <v>6</v>
      </c>
      <c r="E435">
        <v>3824</v>
      </c>
    </row>
    <row r="436" spans="1:5" ht="12.75">
      <c r="A436">
        <v>46001</v>
      </c>
      <c r="B436">
        <v>46</v>
      </c>
      <c r="C436" t="s">
        <v>50</v>
      </c>
      <c r="D436">
        <v>1</v>
      </c>
      <c r="E436">
        <v>3816</v>
      </c>
    </row>
    <row r="437" spans="1:5" ht="12.75">
      <c r="A437">
        <v>46002</v>
      </c>
      <c r="B437">
        <v>46</v>
      </c>
      <c r="C437" t="s">
        <v>50</v>
      </c>
      <c r="D437">
        <v>2</v>
      </c>
      <c r="E437">
        <v>3816</v>
      </c>
    </row>
    <row r="438" spans="1:5" ht="12.75">
      <c r="A438">
        <v>46003</v>
      </c>
      <c r="B438">
        <v>46</v>
      </c>
      <c r="C438" t="s">
        <v>50</v>
      </c>
      <c r="D438">
        <v>3</v>
      </c>
      <c r="E438">
        <v>3816</v>
      </c>
    </row>
    <row r="439" spans="1:5" ht="12.75">
      <c r="A439">
        <v>46004</v>
      </c>
      <c r="B439">
        <v>46</v>
      </c>
      <c r="C439" t="s">
        <v>50</v>
      </c>
      <c r="D439">
        <v>4</v>
      </c>
      <c r="E439">
        <v>3816</v>
      </c>
    </row>
    <row r="440" spans="1:5" ht="12.75">
      <c r="A440">
        <v>46005</v>
      </c>
      <c r="B440">
        <v>46</v>
      </c>
      <c r="C440" t="s">
        <v>50</v>
      </c>
      <c r="D440">
        <v>5</v>
      </c>
      <c r="E440">
        <v>3816</v>
      </c>
    </row>
    <row r="441" spans="1:5" ht="12.75">
      <c r="A441">
        <v>46006</v>
      </c>
      <c r="B441">
        <v>46</v>
      </c>
      <c r="C441" t="s">
        <v>50</v>
      </c>
      <c r="D441">
        <v>6</v>
      </c>
      <c r="E441">
        <v>3816</v>
      </c>
    </row>
    <row r="442" spans="1:5" ht="12.75">
      <c r="A442">
        <v>49001</v>
      </c>
      <c r="B442">
        <v>49</v>
      </c>
      <c r="C442" t="s">
        <v>51</v>
      </c>
      <c r="D442">
        <v>1</v>
      </c>
      <c r="E442">
        <v>2633</v>
      </c>
    </row>
    <row r="443" spans="1:5" ht="12.75">
      <c r="A443">
        <v>49002</v>
      </c>
      <c r="B443">
        <v>49</v>
      </c>
      <c r="C443" t="s">
        <v>51</v>
      </c>
      <c r="D443">
        <v>2</v>
      </c>
      <c r="E443">
        <v>2633</v>
      </c>
    </row>
    <row r="444" spans="1:5" ht="12.75">
      <c r="A444">
        <v>49003</v>
      </c>
      <c r="B444">
        <v>49</v>
      </c>
      <c r="C444" t="s">
        <v>51</v>
      </c>
      <c r="D444">
        <v>3</v>
      </c>
      <c r="E444">
        <v>2633</v>
      </c>
    </row>
    <row r="445" spans="1:5" ht="12.75">
      <c r="A445">
        <v>49004</v>
      </c>
      <c r="B445">
        <v>49</v>
      </c>
      <c r="C445" t="s">
        <v>51</v>
      </c>
      <c r="D445">
        <v>4</v>
      </c>
      <c r="E445">
        <v>2069</v>
      </c>
    </row>
    <row r="446" spans="1:5" ht="12.75">
      <c r="A446">
        <v>49005</v>
      </c>
      <c r="B446">
        <v>49</v>
      </c>
      <c r="C446" t="s">
        <v>51</v>
      </c>
      <c r="D446">
        <v>5</v>
      </c>
      <c r="E446">
        <v>2633</v>
      </c>
    </row>
    <row r="447" spans="1:5" ht="12.75">
      <c r="A447">
        <v>49006</v>
      </c>
      <c r="B447">
        <v>49</v>
      </c>
      <c r="C447" t="s">
        <v>51</v>
      </c>
      <c r="D447">
        <v>6</v>
      </c>
      <c r="E447">
        <v>2633</v>
      </c>
    </row>
    <row r="448" spans="1:5" ht="12.75">
      <c r="A448">
        <v>49007</v>
      </c>
      <c r="B448">
        <v>49</v>
      </c>
      <c r="C448" t="s">
        <v>51</v>
      </c>
      <c r="D448">
        <v>7</v>
      </c>
      <c r="E448">
        <v>2633</v>
      </c>
    </row>
    <row r="449" spans="1:5" ht="12.75">
      <c r="A449">
        <v>49008</v>
      </c>
      <c r="B449">
        <v>49</v>
      </c>
      <c r="C449" t="s">
        <v>51</v>
      </c>
      <c r="D449">
        <v>8</v>
      </c>
      <c r="E449">
        <v>2720</v>
      </c>
    </row>
    <row r="450" spans="1:5" ht="12.75">
      <c r="A450">
        <v>49009</v>
      </c>
      <c r="B450">
        <v>49</v>
      </c>
      <c r="C450" t="s">
        <v>51</v>
      </c>
      <c r="D450">
        <v>9</v>
      </c>
      <c r="E450">
        <v>2069</v>
      </c>
    </row>
    <row r="451" spans="1:5" ht="12.75">
      <c r="A451">
        <v>49010</v>
      </c>
      <c r="B451">
        <v>49</v>
      </c>
      <c r="C451" t="s">
        <v>51</v>
      </c>
      <c r="D451">
        <v>10</v>
      </c>
      <c r="E451">
        <v>2445</v>
      </c>
    </row>
    <row r="452" spans="1:5" ht="12.75">
      <c r="A452">
        <v>49011</v>
      </c>
      <c r="B452">
        <v>49</v>
      </c>
      <c r="C452" t="s">
        <v>51</v>
      </c>
      <c r="D452">
        <v>11</v>
      </c>
      <c r="E452">
        <v>2445</v>
      </c>
    </row>
    <row r="453" spans="1:5" ht="12.75">
      <c r="A453">
        <v>50001</v>
      </c>
      <c r="B453">
        <v>50</v>
      </c>
      <c r="C453" t="s">
        <v>52</v>
      </c>
      <c r="D453">
        <v>1</v>
      </c>
      <c r="E453">
        <v>2112</v>
      </c>
    </row>
    <row r="454" spans="1:5" ht="12.75">
      <c r="A454">
        <v>50002</v>
      </c>
      <c r="B454">
        <v>50</v>
      </c>
      <c r="C454" t="s">
        <v>52</v>
      </c>
      <c r="D454">
        <v>2</v>
      </c>
      <c r="E454">
        <v>2112</v>
      </c>
    </row>
    <row r="455" spans="1:5" ht="12.75">
      <c r="A455">
        <v>50003</v>
      </c>
      <c r="B455">
        <v>50</v>
      </c>
      <c r="C455" t="s">
        <v>52</v>
      </c>
      <c r="D455">
        <v>3</v>
      </c>
      <c r="E455">
        <v>1920</v>
      </c>
    </row>
    <row r="456" spans="1:5" ht="12.75">
      <c r="A456">
        <v>50004</v>
      </c>
      <c r="B456">
        <v>50</v>
      </c>
      <c r="C456" t="s">
        <v>52</v>
      </c>
      <c r="D456">
        <v>4</v>
      </c>
      <c r="E456">
        <v>1920</v>
      </c>
    </row>
    <row r="457" spans="1:5" ht="12.75">
      <c r="A457">
        <v>50005</v>
      </c>
      <c r="B457">
        <v>50</v>
      </c>
      <c r="C457" t="s">
        <v>52</v>
      </c>
      <c r="D457">
        <v>5</v>
      </c>
      <c r="E457">
        <v>2112</v>
      </c>
    </row>
    <row r="458" spans="1:5" ht="12.75">
      <c r="A458">
        <v>50006</v>
      </c>
      <c r="B458">
        <v>50</v>
      </c>
      <c r="C458" t="s">
        <v>52</v>
      </c>
      <c r="D458">
        <v>6</v>
      </c>
      <c r="E458">
        <v>1792</v>
      </c>
    </row>
    <row r="459" spans="1:5" ht="12.75">
      <c r="A459">
        <v>50007</v>
      </c>
      <c r="B459">
        <v>50</v>
      </c>
      <c r="C459" t="s">
        <v>52</v>
      </c>
      <c r="D459">
        <v>7</v>
      </c>
      <c r="E459">
        <v>1792</v>
      </c>
    </row>
    <row r="460" spans="1:5" ht="12.75">
      <c r="A460">
        <v>50008</v>
      </c>
      <c r="B460">
        <v>50</v>
      </c>
      <c r="C460" t="s">
        <v>52</v>
      </c>
      <c r="D460">
        <v>8</v>
      </c>
      <c r="E460">
        <v>2112</v>
      </c>
    </row>
    <row r="461" spans="1:5" ht="12.75">
      <c r="A461">
        <v>50009</v>
      </c>
      <c r="B461">
        <v>50</v>
      </c>
      <c r="C461" t="s">
        <v>52</v>
      </c>
      <c r="D461">
        <v>9</v>
      </c>
      <c r="E461">
        <v>1856</v>
      </c>
    </row>
    <row r="462" spans="1:5" ht="12.75">
      <c r="A462">
        <v>50010</v>
      </c>
      <c r="B462">
        <v>50</v>
      </c>
      <c r="C462" t="s">
        <v>52</v>
      </c>
      <c r="D462">
        <v>10</v>
      </c>
      <c r="E462">
        <v>1856</v>
      </c>
    </row>
    <row r="463" spans="1:5" ht="12.75">
      <c r="A463">
        <v>50011</v>
      </c>
      <c r="B463">
        <v>50</v>
      </c>
      <c r="C463" t="s">
        <v>52</v>
      </c>
      <c r="D463">
        <v>11</v>
      </c>
      <c r="E463">
        <v>1792</v>
      </c>
    </row>
    <row r="464" spans="1:5" ht="12.75">
      <c r="A464">
        <v>50012</v>
      </c>
      <c r="B464">
        <v>50</v>
      </c>
      <c r="C464" t="s">
        <v>52</v>
      </c>
      <c r="D464">
        <v>12</v>
      </c>
      <c r="E464">
        <v>1792</v>
      </c>
    </row>
    <row r="465" spans="1:5" ht="12.75">
      <c r="A465">
        <v>50013</v>
      </c>
      <c r="B465">
        <v>50</v>
      </c>
      <c r="C465" t="s">
        <v>52</v>
      </c>
      <c r="D465">
        <v>13</v>
      </c>
      <c r="E465">
        <v>1664</v>
      </c>
    </row>
    <row r="466" spans="1:5" ht="12.75">
      <c r="A466">
        <v>50014</v>
      </c>
      <c r="B466">
        <v>50</v>
      </c>
      <c r="C466" t="s">
        <v>52</v>
      </c>
      <c r="D466">
        <v>14</v>
      </c>
      <c r="E466">
        <v>1792</v>
      </c>
    </row>
    <row r="467" spans="1:5" ht="12.75">
      <c r="A467">
        <v>50015</v>
      </c>
      <c r="B467">
        <v>50</v>
      </c>
      <c r="C467" t="s">
        <v>52</v>
      </c>
      <c r="D467">
        <v>15</v>
      </c>
      <c r="E467">
        <v>1792</v>
      </c>
    </row>
    <row r="468" spans="1:5" ht="12.75">
      <c r="A468">
        <v>51002</v>
      </c>
      <c r="B468">
        <v>51</v>
      </c>
      <c r="C468" t="s">
        <v>53</v>
      </c>
      <c r="D468">
        <v>2</v>
      </c>
      <c r="E468">
        <v>1693</v>
      </c>
    </row>
    <row r="469" spans="1:5" ht="12.75">
      <c r="A469">
        <v>51003</v>
      </c>
      <c r="B469">
        <v>51</v>
      </c>
      <c r="C469" t="s">
        <v>53</v>
      </c>
      <c r="D469">
        <v>3</v>
      </c>
      <c r="E469">
        <v>1863</v>
      </c>
    </row>
    <row r="470" spans="1:5" ht="12.75">
      <c r="A470">
        <v>51004</v>
      </c>
      <c r="B470">
        <v>51</v>
      </c>
      <c r="C470" t="s">
        <v>53</v>
      </c>
      <c r="D470">
        <v>4</v>
      </c>
      <c r="E470">
        <v>1693</v>
      </c>
    </row>
    <row r="471" spans="1:5" ht="12.75">
      <c r="A471">
        <v>51005</v>
      </c>
      <c r="B471">
        <v>51</v>
      </c>
      <c r="C471" t="s">
        <v>53</v>
      </c>
      <c r="D471">
        <v>5</v>
      </c>
      <c r="E471">
        <v>1863</v>
      </c>
    </row>
    <row r="472" spans="1:5" ht="12.75">
      <c r="A472">
        <v>51006</v>
      </c>
      <c r="B472">
        <v>51</v>
      </c>
      <c r="C472" t="s">
        <v>53</v>
      </c>
      <c r="D472">
        <v>6</v>
      </c>
      <c r="E472">
        <v>1637</v>
      </c>
    </row>
    <row r="473" spans="1:5" ht="12.75">
      <c r="A473">
        <v>51007</v>
      </c>
      <c r="B473">
        <v>51</v>
      </c>
      <c r="C473" t="s">
        <v>53</v>
      </c>
      <c r="D473">
        <v>7</v>
      </c>
      <c r="E473">
        <v>1863</v>
      </c>
    </row>
    <row r="474" spans="1:5" ht="12.75">
      <c r="A474">
        <v>51008</v>
      </c>
      <c r="B474">
        <v>51</v>
      </c>
      <c r="C474" t="s">
        <v>53</v>
      </c>
      <c r="D474">
        <v>8</v>
      </c>
      <c r="E474">
        <v>1693</v>
      </c>
    </row>
    <row r="475" spans="1:5" ht="12.75">
      <c r="A475">
        <v>51009</v>
      </c>
      <c r="B475">
        <v>51</v>
      </c>
      <c r="C475" t="s">
        <v>53</v>
      </c>
      <c r="D475">
        <v>9</v>
      </c>
      <c r="E475">
        <v>1863</v>
      </c>
    </row>
    <row r="476" spans="1:5" ht="12.75">
      <c r="A476">
        <v>51010</v>
      </c>
      <c r="B476">
        <v>51</v>
      </c>
      <c r="C476" t="s">
        <v>53</v>
      </c>
      <c r="D476">
        <v>10</v>
      </c>
      <c r="E476">
        <v>1637</v>
      </c>
    </row>
    <row r="477" spans="1:5" ht="12.75">
      <c r="A477">
        <v>51011</v>
      </c>
      <c r="B477">
        <v>51</v>
      </c>
      <c r="C477" t="s">
        <v>53</v>
      </c>
      <c r="D477">
        <v>11</v>
      </c>
      <c r="E477">
        <v>1637</v>
      </c>
    </row>
    <row r="478" spans="1:5" ht="12.75">
      <c r="A478">
        <v>51012</v>
      </c>
      <c r="B478">
        <v>51</v>
      </c>
      <c r="C478" t="s">
        <v>53</v>
      </c>
      <c r="D478">
        <v>12</v>
      </c>
      <c r="E478">
        <v>1637</v>
      </c>
    </row>
    <row r="479" spans="1:5" ht="12.75">
      <c r="A479">
        <v>51013</v>
      </c>
      <c r="B479">
        <v>51</v>
      </c>
      <c r="C479" t="s">
        <v>53</v>
      </c>
      <c r="D479">
        <v>13</v>
      </c>
      <c r="E479">
        <v>1580</v>
      </c>
    </row>
    <row r="480" spans="1:5" ht="12.75">
      <c r="A480">
        <v>51014</v>
      </c>
      <c r="B480">
        <v>51</v>
      </c>
      <c r="C480" t="s">
        <v>53</v>
      </c>
      <c r="D480">
        <v>14</v>
      </c>
      <c r="E480">
        <v>1637</v>
      </c>
    </row>
    <row r="481" spans="1:5" ht="12.75">
      <c r="A481">
        <v>51015</v>
      </c>
      <c r="B481">
        <v>51</v>
      </c>
      <c r="C481" t="s">
        <v>53</v>
      </c>
      <c r="D481">
        <v>15</v>
      </c>
      <c r="E481">
        <v>1580</v>
      </c>
    </row>
    <row r="482" spans="1:5" ht="12.75">
      <c r="A482">
        <v>51016</v>
      </c>
      <c r="B482">
        <v>51</v>
      </c>
      <c r="C482" t="s">
        <v>53</v>
      </c>
      <c r="D482">
        <v>16</v>
      </c>
      <c r="E482">
        <v>1693</v>
      </c>
    </row>
    <row r="483" spans="1:5" ht="12.75">
      <c r="A483">
        <v>52001</v>
      </c>
      <c r="B483">
        <v>52</v>
      </c>
      <c r="C483" t="s">
        <v>54</v>
      </c>
      <c r="D483">
        <v>1</v>
      </c>
      <c r="E483">
        <v>1438</v>
      </c>
    </row>
    <row r="484" spans="1:5" ht="12.75">
      <c r="A484">
        <v>52002</v>
      </c>
      <c r="B484">
        <v>52</v>
      </c>
      <c r="C484" t="s">
        <v>54</v>
      </c>
      <c r="D484">
        <v>2</v>
      </c>
      <c r="E484">
        <v>1190</v>
      </c>
    </row>
    <row r="485" spans="1:5" ht="12.75">
      <c r="A485">
        <v>52003</v>
      </c>
      <c r="B485">
        <v>52</v>
      </c>
      <c r="C485" t="s">
        <v>54</v>
      </c>
      <c r="D485">
        <v>3</v>
      </c>
      <c r="E485">
        <v>1438</v>
      </c>
    </row>
    <row r="486" spans="1:5" ht="12.75">
      <c r="A486">
        <v>52004</v>
      </c>
      <c r="B486">
        <v>52</v>
      </c>
      <c r="C486" t="s">
        <v>54</v>
      </c>
      <c r="D486">
        <v>4</v>
      </c>
      <c r="E486">
        <v>1438</v>
      </c>
    </row>
    <row r="487" spans="1:5" ht="12.75">
      <c r="A487">
        <v>52005</v>
      </c>
      <c r="B487">
        <v>52</v>
      </c>
      <c r="C487" t="s">
        <v>54</v>
      </c>
      <c r="D487">
        <v>5</v>
      </c>
      <c r="E487">
        <v>1438</v>
      </c>
    </row>
    <row r="488" spans="1:5" ht="12.75">
      <c r="A488">
        <v>52006</v>
      </c>
      <c r="B488">
        <v>52</v>
      </c>
      <c r="C488" t="s">
        <v>54</v>
      </c>
      <c r="D488">
        <v>6</v>
      </c>
      <c r="E488">
        <v>1438</v>
      </c>
    </row>
    <row r="489" spans="1:5" ht="12.75">
      <c r="A489">
        <v>52007</v>
      </c>
      <c r="B489">
        <v>52</v>
      </c>
      <c r="C489" t="s">
        <v>54</v>
      </c>
      <c r="D489">
        <v>7</v>
      </c>
      <c r="E489">
        <v>1438</v>
      </c>
    </row>
    <row r="490" spans="1:5" ht="12.75">
      <c r="A490">
        <v>52008</v>
      </c>
      <c r="B490">
        <v>52</v>
      </c>
      <c r="C490" t="s">
        <v>54</v>
      </c>
      <c r="D490">
        <v>8</v>
      </c>
      <c r="E490">
        <v>1289</v>
      </c>
    </row>
    <row r="491" spans="1:5" ht="12.75">
      <c r="A491">
        <v>52009</v>
      </c>
      <c r="B491">
        <v>52</v>
      </c>
      <c r="C491" t="s">
        <v>54</v>
      </c>
      <c r="D491">
        <v>9</v>
      </c>
      <c r="E491">
        <v>1438</v>
      </c>
    </row>
    <row r="492" spans="1:5" ht="12.75">
      <c r="A492">
        <v>53001</v>
      </c>
      <c r="B492">
        <v>53</v>
      </c>
      <c r="C492" t="s">
        <v>55</v>
      </c>
      <c r="D492">
        <v>1</v>
      </c>
      <c r="E492">
        <v>1640</v>
      </c>
    </row>
    <row r="493" spans="1:5" ht="12.75">
      <c r="A493">
        <v>53002</v>
      </c>
      <c r="B493">
        <v>53</v>
      </c>
      <c r="C493" t="s">
        <v>55</v>
      </c>
      <c r="D493">
        <v>2</v>
      </c>
      <c r="E493">
        <v>1698</v>
      </c>
    </row>
    <row r="494" spans="1:5" ht="12.75">
      <c r="A494">
        <v>53003</v>
      </c>
      <c r="B494">
        <v>53</v>
      </c>
      <c r="C494" t="s">
        <v>55</v>
      </c>
      <c r="D494">
        <v>3</v>
      </c>
      <c r="E494">
        <v>1640</v>
      </c>
    </row>
    <row r="495" spans="1:5" ht="12.75">
      <c r="A495">
        <v>53004</v>
      </c>
      <c r="B495">
        <v>53</v>
      </c>
      <c r="C495" t="s">
        <v>55</v>
      </c>
      <c r="D495">
        <v>4</v>
      </c>
      <c r="E495">
        <v>1640</v>
      </c>
    </row>
    <row r="496" spans="1:5" ht="12.75">
      <c r="A496">
        <v>53005</v>
      </c>
      <c r="B496">
        <v>53</v>
      </c>
      <c r="C496" t="s">
        <v>55</v>
      </c>
      <c r="D496">
        <v>5</v>
      </c>
      <c r="E496">
        <v>1698</v>
      </c>
    </row>
    <row r="497" spans="1:5" ht="12.75">
      <c r="A497">
        <v>53006</v>
      </c>
      <c r="B497">
        <v>53</v>
      </c>
      <c r="C497" t="s">
        <v>55</v>
      </c>
      <c r="D497">
        <v>6</v>
      </c>
      <c r="E497">
        <v>1698</v>
      </c>
    </row>
    <row r="498" spans="1:5" ht="12.75">
      <c r="A498">
        <v>53007</v>
      </c>
      <c r="B498">
        <v>53</v>
      </c>
      <c r="C498" t="s">
        <v>55</v>
      </c>
      <c r="D498">
        <v>7</v>
      </c>
      <c r="E498">
        <v>1405</v>
      </c>
    </row>
    <row r="499" spans="1:5" ht="12.75">
      <c r="A499">
        <v>53008</v>
      </c>
      <c r="B499">
        <v>53</v>
      </c>
      <c r="C499" t="s">
        <v>55</v>
      </c>
      <c r="D499">
        <v>8</v>
      </c>
      <c r="E499">
        <v>1757</v>
      </c>
    </row>
    <row r="500" spans="1:5" ht="12.75">
      <c r="A500">
        <v>53009</v>
      </c>
      <c r="B500">
        <v>53</v>
      </c>
      <c r="C500" t="s">
        <v>55</v>
      </c>
      <c r="D500">
        <v>9</v>
      </c>
      <c r="E500">
        <v>1757</v>
      </c>
    </row>
    <row r="501" spans="1:5" ht="12.75">
      <c r="A501">
        <v>53010</v>
      </c>
      <c r="B501">
        <v>53</v>
      </c>
      <c r="C501" t="s">
        <v>55</v>
      </c>
      <c r="D501">
        <v>10</v>
      </c>
      <c r="E501">
        <v>1405</v>
      </c>
    </row>
    <row r="502" spans="1:5" ht="12.75">
      <c r="A502">
        <v>53011</v>
      </c>
      <c r="B502">
        <v>53</v>
      </c>
      <c r="C502" t="s">
        <v>55</v>
      </c>
      <c r="D502">
        <v>11</v>
      </c>
      <c r="E502">
        <v>1405</v>
      </c>
    </row>
    <row r="503" spans="1:5" ht="12.75">
      <c r="A503">
        <v>54001</v>
      </c>
      <c r="B503">
        <v>54</v>
      </c>
      <c r="C503" t="s">
        <v>56</v>
      </c>
      <c r="D503">
        <v>1</v>
      </c>
      <c r="E503">
        <v>3842</v>
      </c>
    </row>
    <row r="504" spans="1:5" ht="12.75">
      <c r="A504">
        <v>54002</v>
      </c>
      <c r="B504">
        <v>54</v>
      </c>
      <c r="C504" t="s">
        <v>56</v>
      </c>
      <c r="D504">
        <v>2</v>
      </c>
      <c r="E504">
        <v>3842</v>
      </c>
    </row>
    <row r="505" spans="1:5" ht="12.75">
      <c r="A505">
        <v>54003</v>
      </c>
      <c r="B505">
        <v>54</v>
      </c>
      <c r="C505" t="s">
        <v>56</v>
      </c>
      <c r="D505">
        <v>3</v>
      </c>
      <c r="E505">
        <v>3842</v>
      </c>
    </row>
    <row r="506" spans="1:5" ht="12.75">
      <c r="A506">
        <v>54004</v>
      </c>
      <c r="B506">
        <v>54</v>
      </c>
      <c r="C506" t="s">
        <v>56</v>
      </c>
      <c r="D506">
        <v>4</v>
      </c>
      <c r="E506">
        <v>3842</v>
      </c>
    </row>
    <row r="507" spans="1:5" ht="12.75">
      <c r="A507">
        <v>54005</v>
      </c>
      <c r="B507">
        <v>54</v>
      </c>
      <c r="C507" t="s">
        <v>56</v>
      </c>
      <c r="D507">
        <v>5</v>
      </c>
      <c r="E507">
        <v>3842</v>
      </c>
    </row>
    <row r="508" spans="1:5" ht="12.75">
      <c r="A508">
        <v>54006</v>
      </c>
      <c r="B508">
        <v>54</v>
      </c>
      <c r="C508" t="s">
        <v>56</v>
      </c>
      <c r="D508">
        <v>6</v>
      </c>
      <c r="E508">
        <v>3842</v>
      </c>
    </row>
    <row r="509" spans="1:5" ht="12.75">
      <c r="A509">
        <v>54007</v>
      </c>
      <c r="B509">
        <v>54</v>
      </c>
      <c r="C509" t="s">
        <v>56</v>
      </c>
      <c r="D509">
        <v>7</v>
      </c>
      <c r="E509">
        <v>3842</v>
      </c>
    </row>
    <row r="510" spans="1:5" ht="12.75">
      <c r="A510">
        <v>54008</v>
      </c>
      <c r="B510">
        <v>54</v>
      </c>
      <c r="C510" t="s">
        <v>56</v>
      </c>
      <c r="D510">
        <v>8</v>
      </c>
      <c r="E510">
        <v>3842</v>
      </c>
    </row>
    <row r="511" spans="1:5" ht="12.75">
      <c r="A511">
        <v>54009</v>
      </c>
      <c r="B511">
        <v>54</v>
      </c>
      <c r="C511" t="s">
        <v>56</v>
      </c>
      <c r="D511">
        <v>9</v>
      </c>
      <c r="E511">
        <v>3842</v>
      </c>
    </row>
    <row r="512" spans="1:5" ht="12.75">
      <c r="A512">
        <v>54010</v>
      </c>
      <c r="B512">
        <v>54</v>
      </c>
      <c r="C512" t="s">
        <v>56</v>
      </c>
      <c r="D512">
        <v>10</v>
      </c>
      <c r="E512">
        <v>3842</v>
      </c>
    </row>
    <row r="513" spans="1:5" ht="12.75">
      <c r="A513">
        <v>54011</v>
      </c>
      <c r="B513">
        <v>54</v>
      </c>
      <c r="C513" t="s">
        <v>56</v>
      </c>
      <c r="D513">
        <v>11</v>
      </c>
      <c r="E513">
        <v>3202</v>
      </c>
    </row>
    <row r="514" spans="1:5" ht="12.75">
      <c r="A514">
        <v>54012</v>
      </c>
      <c r="B514">
        <v>54</v>
      </c>
      <c r="C514" t="s">
        <v>56</v>
      </c>
      <c r="D514">
        <v>12</v>
      </c>
      <c r="E514">
        <v>3522</v>
      </c>
    </row>
    <row r="515" spans="1:5" ht="12.75">
      <c r="A515">
        <v>54013</v>
      </c>
      <c r="B515">
        <v>54</v>
      </c>
      <c r="C515" t="s">
        <v>56</v>
      </c>
      <c r="D515">
        <v>13</v>
      </c>
      <c r="E515">
        <v>3202</v>
      </c>
    </row>
    <row r="516" spans="1:5" ht="12.75">
      <c r="A516">
        <v>54014</v>
      </c>
      <c r="B516">
        <v>54</v>
      </c>
      <c r="C516" t="s">
        <v>56</v>
      </c>
      <c r="D516">
        <v>14</v>
      </c>
      <c r="E516">
        <v>3842</v>
      </c>
    </row>
    <row r="517" spans="1:5" ht="12.75">
      <c r="A517">
        <v>54015</v>
      </c>
      <c r="B517">
        <v>54</v>
      </c>
      <c r="C517" t="s">
        <v>56</v>
      </c>
      <c r="D517">
        <v>15</v>
      </c>
      <c r="E517">
        <v>3842</v>
      </c>
    </row>
    <row r="518" spans="1:5" ht="12.75">
      <c r="A518">
        <v>55002</v>
      </c>
      <c r="B518">
        <v>55</v>
      </c>
      <c r="C518" t="s">
        <v>57</v>
      </c>
      <c r="D518">
        <v>2</v>
      </c>
      <c r="E518">
        <v>4572</v>
      </c>
    </row>
    <row r="519" spans="1:5" ht="12.75">
      <c r="A519">
        <v>55003</v>
      </c>
      <c r="B519">
        <v>55</v>
      </c>
      <c r="C519" t="s">
        <v>57</v>
      </c>
      <c r="D519">
        <v>3</v>
      </c>
      <c r="E519">
        <v>4572</v>
      </c>
    </row>
    <row r="520" spans="1:5" ht="12.75">
      <c r="A520">
        <v>55004</v>
      </c>
      <c r="B520">
        <v>55</v>
      </c>
      <c r="C520" t="s">
        <v>57</v>
      </c>
      <c r="D520">
        <v>4</v>
      </c>
      <c r="E520">
        <v>3683</v>
      </c>
    </row>
    <row r="521" spans="1:5" ht="12.75">
      <c r="A521">
        <v>55006</v>
      </c>
      <c r="B521">
        <v>55</v>
      </c>
      <c r="C521" t="s">
        <v>57</v>
      </c>
      <c r="D521">
        <v>6</v>
      </c>
      <c r="E521">
        <v>4572</v>
      </c>
    </row>
    <row r="522" spans="1:5" ht="12.75">
      <c r="A522">
        <v>55007</v>
      </c>
      <c r="B522">
        <v>55</v>
      </c>
      <c r="C522" t="s">
        <v>57</v>
      </c>
      <c r="D522">
        <v>7</v>
      </c>
      <c r="E522">
        <v>3048</v>
      </c>
    </row>
    <row r="523" spans="1:5" ht="12.75">
      <c r="A523">
        <v>55008</v>
      </c>
      <c r="B523">
        <v>55</v>
      </c>
      <c r="C523" t="s">
        <v>57</v>
      </c>
      <c r="D523">
        <v>8</v>
      </c>
      <c r="E523">
        <v>3048</v>
      </c>
    </row>
    <row r="524" spans="1:5" ht="12.75">
      <c r="A524">
        <v>55009</v>
      </c>
      <c r="B524">
        <v>55</v>
      </c>
      <c r="C524" t="s">
        <v>57</v>
      </c>
      <c r="D524">
        <v>9</v>
      </c>
      <c r="E524">
        <v>3048</v>
      </c>
    </row>
    <row r="525" spans="1:5" ht="12.75">
      <c r="A525">
        <v>55010</v>
      </c>
      <c r="B525">
        <v>55</v>
      </c>
      <c r="C525" t="s">
        <v>57</v>
      </c>
      <c r="D525">
        <v>10</v>
      </c>
      <c r="E525">
        <v>3048</v>
      </c>
    </row>
    <row r="526" spans="1:5" ht="12.75">
      <c r="A526">
        <v>56001</v>
      </c>
      <c r="B526">
        <v>56</v>
      </c>
      <c r="C526" t="s">
        <v>58</v>
      </c>
      <c r="D526">
        <v>1</v>
      </c>
      <c r="E526">
        <v>1431</v>
      </c>
    </row>
    <row r="527" spans="1:5" ht="12.75">
      <c r="A527">
        <v>56002</v>
      </c>
      <c r="B527">
        <v>56</v>
      </c>
      <c r="C527" t="s">
        <v>58</v>
      </c>
      <c r="D527">
        <v>2</v>
      </c>
      <c r="E527">
        <v>1431</v>
      </c>
    </row>
    <row r="528" spans="1:5" ht="12.75">
      <c r="A528">
        <v>56003</v>
      </c>
      <c r="B528">
        <v>56</v>
      </c>
      <c r="C528" t="s">
        <v>58</v>
      </c>
      <c r="D528">
        <v>3</v>
      </c>
      <c r="E528">
        <v>1431</v>
      </c>
    </row>
    <row r="529" spans="1:5" ht="12.75">
      <c r="A529">
        <v>56004</v>
      </c>
      <c r="B529">
        <v>56</v>
      </c>
      <c r="C529" t="s">
        <v>58</v>
      </c>
      <c r="D529">
        <v>4</v>
      </c>
      <c r="E529">
        <v>1381</v>
      </c>
    </row>
    <row r="530" spans="1:5" ht="12.75">
      <c r="A530">
        <v>56005</v>
      </c>
      <c r="B530">
        <v>56</v>
      </c>
      <c r="C530" t="s">
        <v>58</v>
      </c>
      <c r="D530">
        <v>5</v>
      </c>
      <c r="E530">
        <v>1381</v>
      </c>
    </row>
    <row r="531" spans="1:5" ht="12.75">
      <c r="A531">
        <v>56006</v>
      </c>
      <c r="B531">
        <v>56</v>
      </c>
      <c r="C531" t="s">
        <v>58</v>
      </c>
      <c r="D531">
        <v>6</v>
      </c>
      <c r="E531">
        <v>1381</v>
      </c>
    </row>
    <row r="532" spans="1:5" ht="12.75">
      <c r="A532">
        <v>56007</v>
      </c>
      <c r="B532">
        <v>56</v>
      </c>
      <c r="C532" t="s">
        <v>58</v>
      </c>
      <c r="D532">
        <v>7</v>
      </c>
      <c r="E532">
        <v>1431</v>
      </c>
    </row>
    <row r="533" spans="1:5" ht="12.75">
      <c r="A533">
        <v>56008</v>
      </c>
      <c r="B533">
        <v>56</v>
      </c>
      <c r="C533" t="s">
        <v>58</v>
      </c>
      <c r="D533">
        <v>8</v>
      </c>
      <c r="E533">
        <v>1381</v>
      </c>
    </row>
    <row r="534" spans="1:5" ht="12.75">
      <c r="A534">
        <v>56009</v>
      </c>
      <c r="B534">
        <v>56</v>
      </c>
      <c r="C534" t="s">
        <v>58</v>
      </c>
      <c r="D534">
        <v>9</v>
      </c>
      <c r="E534">
        <v>1431</v>
      </c>
    </row>
    <row r="535" spans="1:5" ht="12.75">
      <c r="A535">
        <v>56010</v>
      </c>
      <c r="B535">
        <v>56</v>
      </c>
      <c r="C535" t="s">
        <v>58</v>
      </c>
      <c r="D535">
        <v>10</v>
      </c>
      <c r="E535">
        <v>1431</v>
      </c>
    </row>
    <row r="536" spans="1:5" ht="12.75">
      <c r="A536">
        <v>56011</v>
      </c>
      <c r="B536">
        <v>56</v>
      </c>
      <c r="C536" t="s">
        <v>58</v>
      </c>
      <c r="D536">
        <v>11</v>
      </c>
      <c r="E536">
        <v>1431</v>
      </c>
    </row>
    <row r="537" spans="1:5" ht="12.75">
      <c r="A537">
        <v>56012</v>
      </c>
      <c r="B537">
        <v>56</v>
      </c>
      <c r="C537" t="s">
        <v>58</v>
      </c>
      <c r="D537">
        <v>12</v>
      </c>
      <c r="E537">
        <v>1431</v>
      </c>
    </row>
    <row r="538" spans="1:5" ht="12.75">
      <c r="A538">
        <v>57001</v>
      </c>
      <c r="B538">
        <v>57</v>
      </c>
      <c r="C538" t="s">
        <v>59</v>
      </c>
      <c r="D538">
        <v>1</v>
      </c>
      <c r="E538">
        <v>8068</v>
      </c>
    </row>
    <row r="539" spans="1:5" ht="12.75">
      <c r="A539">
        <v>57002</v>
      </c>
      <c r="B539">
        <v>57</v>
      </c>
      <c r="C539" t="s">
        <v>59</v>
      </c>
      <c r="D539">
        <v>2</v>
      </c>
      <c r="E539">
        <v>8299</v>
      </c>
    </row>
    <row r="540" spans="1:5" ht="12.75">
      <c r="A540">
        <v>57003</v>
      </c>
      <c r="B540">
        <v>57</v>
      </c>
      <c r="C540" t="s">
        <v>59</v>
      </c>
      <c r="D540">
        <v>3</v>
      </c>
      <c r="E540">
        <v>8068</v>
      </c>
    </row>
    <row r="541" spans="1:5" ht="12.75">
      <c r="A541">
        <v>57004</v>
      </c>
      <c r="B541">
        <v>57</v>
      </c>
      <c r="C541" t="s">
        <v>59</v>
      </c>
      <c r="D541">
        <v>4</v>
      </c>
      <c r="E541">
        <v>8068</v>
      </c>
    </row>
    <row r="542" spans="1:5" ht="12.75">
      <c r="A542">
        <v>58001</v>
      </c>
      <c r="B542">
        <v>58</v>
      </c>
      <c r="C542" t="s">
        <v>60</v>
      </c>
      <c r="D542">
        <v>1</v>
      </c>
      <c r="E542">
        <v>1397</v>
      </c>
    </row>
    <row r="543" spans="1:5" ht="12.75">
      <c r="A543">
        <v>58002</v>
      </c>
      <c r="B543">
        <v>58</v>
      </c>
      <c r="C543" t="s">
        <v>60</v>
      </c>
      <c r="D543">
        <v>2</v>
      </c>
      <c r="E543">
        <v>1227</v>
      </c>
    </row>
    <row r="544" spans="1:5" ht="12.75">
      <c r="A544">
        <v>58003</v>
      </c>
      <c r="B544">
        <v>58</v>
      </c>
      <c r="C544" t="s">
        <v>60</v>
      </c>
      <c r="D544">
        <v>3</v>
      </c>
      <c r="E544">
        <v>1397</v>
      </c>
    </row>
    <row r="545" spans="1:5" ht="12.75">
      <c r="A545">
        <v>58004</v>
      </c>
      <c r="B545">
        <v>58</v>
      </c>
      <c r="C545" t="s">
        <v>60</v>
      </c>
      <c r="D545">
        <v>4</v>
      </c>
      <c r="E545">
        <v>1270</v>
      </c>
    </row>
    <row r="546" spans="1:5" ht="12.75">
      <c r="A546">
        <v>58005</v>
      </c>
      <c r="B546">
        <v>58</v>
      </c>
      <c r="C546" t="s">
        <v>60</v>
      </c>
      <c r="D546">
        <v>5</v>
      </c>
      <c r="E546">
        <v>1270</v>
      </c>
    </row>
    <row r="547" spans="1:5" ht="12.75">
      <c r="A547">
        <v>58006</v>
      </c>
      <c r="B547">
        <v>58</v>
      </c>
      <c r="C547" t="s">
        <v>60</v>
      </c>
      <c r="D547">
        <v>6</v>
      </c>
      <c r="E547">
        <v>1397</v>
      </c>
    </row>
    <row r="548" spans="1:5" ht="12.75">
      <c r="A548">
        <v>58007</v>
      </c>
      <c r="B548">
        <v>58</v>
      </c>
      <c r="C548" t="s">
        <v>60</v>
      </c>
      <c r="D548">
        <v>7</v>
      </c>
      <c r="E548">
        <v>1270</v>
      </c>
    </row>
    <row r="549" spans="1:5" ht="12.75">
      <c r="A549">
        <v>58008</v>
      </c>
      <c r="B549">
        <v>58</v>
      </c>
      <c r="C549" t="s">
        <v>60</v>
      </c>
      <c r="D549">
        <v>8</v>
      </c>
      <c r="E549">
        <v>1227</v>
      </c>
    </row>
    <row r="550" spans="1:5" ht="12.75">
      <c r="A550">
        <v>58009</v>
      </c>
      <c r="B550">
        <v>58</v>
      </c>
      <c r="C550" t="s">
        <v>60</v>
      </c>
      <c r="D550">
        <v>9</v>
      </c>
      <c r="E550">
        <v>1270</v>
      </c>
    </row>
    <row r="551" spans="1:5" ht="12.75">
      <c r="A551">
        <v>58010</v>
      </c>
      <c r="B551">
        <v>58</v>
      </c>
      <c r="C551" t="s">
        <v>60</v>
      </c>
      <c r="D551">
        <v>10</v>
      </c>
      <c r="E551">
        <v>1270</v>
      </c>
    </row>
    <row r="552" spans="1:5" ht="12.75">
      <c r="A552">
        <v>58011</v>
      </c>
      <c r="B552">
        <v>58</v>
      </c>
      <c r="C552" t="s">
        <v>60</v>
      </c>
      <c r="D552">
        <v>11</v>
      </c>
      <c r="E552">
        <v>1227</v>
      </c>
    </row>
    <row r="553" spans="1:5" ht="12.75">
      <c r="A553">
        <v>58012</v>
      </c>
      <c r="B553">
        <v>58</v>
      </c>
      <c r="C553" t="s">
        <v>60</v>
      </c>
      <c r="D553">
        <v>12</v>
      </c>
      <c r="E553">
        <v>1227</v>
      </c>
    </row>
    <row r="554" spans="1:5" ht="12.75">
      <c r="A554">
        <v>59001</v>
      </c>
      <c r="B554">
        <v>59</v>
      </c>
      <c r="C554" t="s">
        <v>61</v>
      </c>
      <c r="D554">
        <v>1</v>
      </c>
      <c r="E554">
        <v>3082</v>
      </c>
    </row>
    <row r="555" spans="1:5" ht="12.75">
      <c r="A555">
        <v>59002</v>
      </c>
      <c r="B555">
        <v>59</v>
      </c>
      <c r="C555" t="s">
        <v>61</v>
      </c>
      <c r="D555">
        <v>2</v>
      </c>
      <c r="E555">
        <v>3082</v>
      </c>
    </row>
    <row r="556" spans="1:5" ht="12.75">
      <c r="A556">
        <v>59003</v>
      </c>
      <c r="B556">
        <v>59</v>
      </c>
      <c r="C556" t="s">
        <v>61</v>
      </c>
      <c r="D556">
        <v>3</v>
      </c>
      <c r="E556">
        <v>3082</v>
      </c>
    </row>
    <row r="557" spans="1:5" ht="12.75">
      <c r="A557">
        <v>59004</v>
      </c>
      <c r="B557">
        <v>59</v>
      </c>
      <c r="C557" t="s">
        <v>61</v>
      </c>
      <c r="D557">
        <v>4</v>
      </c>
      <c r="E557">
        <v>3082</v>
      </c>
    </row>
    <row r="558" spans="1:5" ht="12.75">
      <c r="A558">
        <v>59005</v>
      </c>
      <c r="B558">
        <v>59</v>
      </c>
      <c r="C558" t="s">
        <v>61</v>
      </c>
      <c r="D558">
        <v>5</v>
      </c>
      <c r="E558">
        <v>3082</v>
      </c>
    </row>
    <row r="559" spans="1:5" ht="12.75">
      <c r="A559">
        <v>59006</v>
      </c>
      <c r="B559">
        <v>59</v>
      </c>
      <c r="C559" t="s">
        <v>61</v>
      </c>
      <c r="D559">
        <v>6</v>
      </c>
      <c r="E559">
        <v>3082</v>
      </c>
    </row>
    <row r="560" spans="1:5" ht="12.75">
      <c r="A560">
        <v>59007</v>
      </c>
      <c r="B560">
        <v>59</v>
      </c>
      <c r="C560" t="s">
        <v>61</v>
      </c>
      <c r="D560">
        <v>7</v>
      </c>
      <c r="E560">
        <v>3082</v>
      </c>
    </row>
    <row r="561" spans="1:5" ht="12.75">
      <c r="A561">
        <v>59008</v>
      </c>
      <c r="B561">
        <v>59</v>
      </c>
      <c r="C561" t="s">
        <v>61</v>
      </c>
      <c r="D561">
        <v>8</v>
      </c>
      <c r="E561">
        <v>3082</v>
      </c>
    </row>
    <row r="562" spans="1:5" ht="12.75">
      <c r="A562">
        <v>59009</v>
      </c>
      <c r="B562">
        <v>59</v>
      </c>
      <c r="C562" t="s">
        <v>61</v>
      </c>
      <c r="D562">
        <v>9</v>
      </c>
      <c r="E562">
        <v>3082</v>
      </c>
    </row>
    <row r="563" spans="1:5" ht="12.75">
      <c r="A563">
        <v>59010</v>
      </c>
      <c r="B563">
        <v>59</v>
      </c>
      <c r="C563" t="s">
        <v>61</v>
      </c>
      <c r="D563">
        <v>10</v>
      </c>
      <c r="E563">
        <v>3082</v>
      </c>
    </row>
    <row r="564" spans="1:5" ht="12.75">
      <c r="A564">
        <v>59011</v>
      </c>
      <c r="B564">
        <v>59</v>
      </c>
      <c r="C564" t="s">
        <v>61</v>
      </c>
      <c r="D564">
        <v>11</v>
      </c>
      <c r="E564">
        <v>3082</v>
      </c>
    </row>
    <row r="565" spans="1:5" ht="12.75">
      <c r="A565">
        <v>59012</v>
      </c>
      <c r="B565">
        <v>59</v>
      </c>
      <c r="C565" t="s">
        <v>61</v>
      </c>
      <c r="D565">
        <v>12</v>
      </c>
      <c r="E565">
        <v>3082</v>
      </c>
    </row>
    <row r="566" spans="1:5" ht="12.75">
      <c r="A566">
        <v>59013</v>
      </c>
      <c r="B566">
        <v>59</v>
      </c>
      <c r="C566" t="s">
        <v>61</v>
      </c>
      <c r="D566">
        <v>13</v>
      </c>
      <c r="E566">
        <v>3082</v>
      </c>
    </row>
    <row r="567" spans="1:5" ht="12.75">
      <c r="A567">
        <v>60001</v>
      </c>
      <c r="B567">
        <v>60</v>
      </c>
      <c r="C567" t="s">
        <v>62</v>
      </c>
      <c r="D567">
        <v>1</v>
      </c>
      <c r="E567">
        <v>2732</v>
      </c>
    </row>
    <row r="568" spans="1:5" ht="12.75">
      <c r="A568">
        <v>60002</v>
      </c>
      <c r="B568">
        <v>60</v>
      </c>
      <c r="C568" t="s">
        <v>62</v>
      </c>
      <c r="D568">
        <v>2</v>
      </c>
      <c r="E568">
        <v>2732</v>
      </c>
    </row>
    <row r="569" spans="1:5" ht="12.75">
      <c r="A569">
        <v>60003</v>
      </c>
      <c r="B569">
        <v>60</v>
      </c>
      <c r="C569" t="s">
        <v>62</v>
      </c>
      <c r="D569">
        <v>3</v>
      </c>
      <c r="E569">
        <v>2641</v>
      </c>
    </row>
    <row r="570" spans="1:5" ht="12.75">
      <c r="A570">
        <v>60004</v>
      </c>
      <c r="B570">
        <v>60</v>
      </c>
      <c r="C570" t="s">
        <v>62</v>
      </c>
      <c r="D570">
        <v>4</v>
      </c>
      <c r="E570">
        <v>2003</v>
      </c>
    </row>
    <row r="571" spans="1:5" ht="12.75">
      <c r="A571">
        <v>60005</v>
      </c>
      <c r="B571">
        <v>60</v>
      </c>
      <c r="C571" t="s">
        <v>62</v>
      </c>
      <c r="D571">
        <v>5</v>
      </c>
      <c r="E571">
        <v>2641</v>
      </c>
    </row>
    <row r="572" spans="1:5" ht="12.75">
      <c r="A572">
        <v>60006</v>
      </c>
      <c r="B572">
        <v>60</v>
      </c>
      <c r="C572" t="s">
        <v>62</v>
      </c>
      <c r="D572">
        <v>6</v>
      </c>
      <c r="E572">
        <v>2641</v>
      </c>
    </row>
    <row r="573" spans="1:5" ht="12.75">
      <c r="A573">
        <v>60007</v>
      </c>
      <c r="B573">
        <v>60</v>
      </c>
      <c r="C573" t="s">
        <v>62</v>
      </c>
      <c r="D573">
        <v>7</v>
      </c>
      <c r="E573">
        <v>2641</v>
      </c>
    </row>
    <row r="574" spans="1:5" ht="12.75">
      <c r="A574">
        <v>60008</v>
      </c>
      <c r="B574">
        <v>60</v>
      </c>
      <c r="C574" t="s">
        <v>62</v>
      </c>
      <c r="D574">
        <v>8</v>
      </c>
      <c r="E574">
        <v>2368</v>
      </c>
    </row>
    <row r="575" spans="1:5" ht="12.75">
      <c r="A575">
        <v>60009</v>
      </c>
      <c r="B575">
        <v>60</v>
      </c>
      <c r="C575" t="s">
        <v>62</v>
      </c>
      <c r="D575">
        <v>9</v>
      </c>
      <c r="E575">
        <v>2641</v>
      </c>
    </row>
    <row r="576" spans="1:5" ht="12.75">
      <c r="A576">
        <v>60010</v>
      </c>
      <c r="B576">
        <v>60</v>
      </c>
      <c r="C576" t="s">
        <v>62</v>
      </c>
      <c r="D576">
        <v>10</v>
      </c>
      <c r="E576">
        <v>2368</v>
      </c>
    </row>
    <row r="577" spans="1:5" ht="12.75">
      <c r="A577">
        <v>60011</v>
      </c>
      <c r="B577">
        <v>60</v>
      </c>
      <c r="C577" t="s">
        <v>62</v>
      </c>
      <c r="D577">
        <v>11</v>
      </c>
      <c r="E577">
        <v>2368</v>
      </c>
    </row>
    <row r="578" spans="1:5" ht="12.75">
      <c r="A578">
        <v>60012</v>
      </c>
      <c r="B578">
        <v>60</v>
      </c>
      <c r="C578" t="s">
        <v>62</v>
      </c>
      <c r="D578">
        <v>12</v>
      </c>
      <c r="E578">
        <v>2368</v>
      </c>
    </row>
    <row r="579" spans="1:5" ht="12.75">
      <c r="A579">
        <v>60014</v>
      </c>
      <c r="B579">
        <v>60</v>
      </c>
      <c r="C579" t="s">
        <v>62</v>
      </c>
      <c r="D579">
        <v>14</v>
      </c>
      <c r="E579">
        <v>2368</v>
      </c>
    </row>
    <row r="580" spans="1:5" ht="12.75">
      <c r="A580">
        <v>60015</v>
      </c>
      <c r="B580">
        <v>60</v>
      </c>
      <c r="C580" t="s">
        <v>62</v>
      </c>
      <c r="D580">
        <v>15</v>
      </c>
      <c r="E580">
        <v>2550</v>
      </c>
    </row>
    <row r="581" spans="1:5" ht="12.75">
      <c r="A581">
        <v>61001</v>
      </c>
      <c r="B581">
        <v>61</v>
      </c>
      <c r="C581" t="s">
        <v>63</v>
      </c>
      <c r="D581">
        <v>1</v>
      </c>
      <c r="E581">
        <v>3110</v>
      </c>
    </row>
    <row r="582" spans="1:5" ht="12.75">
      <c r="A582">
        <v>61002</v>
      </c>
      <c r="B582">
        <v>61</v>
      </c>
      <c r="C582" t="s">
        <v>63</v>
      </c>
      <c r="D582">
        <v>2</v>
      </c>
      <c r="E582">
        <v>2577</v>
      </c>
    </row>
    <row r="583" spans="1:5" ht="12.75">
      <c r="A583">
        <v>61003</v>
      </c>
      <c r="B583">
        <v>61</v>
      </c>
      <c r="C583" t="s">
        <v>63</v>
      </c>
      <c r="D583">
        <v>3</v>
      </c>
      <c r="E583">
        <v>2577</v>
      </c>
    </row>
    <row r="584" spans="1:5" ht="12.75">
      <c r="A584">
        <v>61004</v>
      </c>
      <c r="B584">
        <v>61</v>
      </c>
      <c r="C584" t="s">
        <v>63</v>
      </c>
      <c r="D584">
        <v>4</v>
      </c>
      <c r="E584">
        <v>3021</v>
      </c>
    </row>
    <row r="585" spans="1:5" ht="12.75">
      <c r="A585">
        <v>61005</v>
      </c>
      <c r="B585">
        <v>61</v>
      </c>
      <c r="C585" t="s">
        <v>63</v>
      </c>
      <c r="D585">
        <v>5</v>
      </c>
      <c r="E585">
        <v>2666</v>
      </c>
    </row>
    <row r="586" spans="1:5" ht="12.75">
      <c r="A586">
        <v>61006</v>
      </c>
      <c r="B586">
        <v>61</v>
      </c>
      <c r="C586" t="s">
        <v>63</v>
      </c>
      <c r="D586">
        <v>6</v>
      </c>
      <c r="E586">
        <v>2488</v>
      </c>
    </row>
    <row r="587" spans="1:5" ht="12.75">
      <c r="A587">
        <v>61007</v>
      </c>
      <c r="B587">
        <v>61</v>
      </c>
      <c r="C587" t="s">
        <v>63</v>
      </c>
      <c r="D587">
        <v>7</v>
      </c>
      <c r="E587">
        <v>2666</v>
      </c>
    </row>
    <row r="588" spans="1:5" ht="12.75">
      <c r="A588">
        <v>61008</v>
      </c>
      <c r="B588">
        <v>61</v>
      </c>
      <c r="C588" t="s">
        <v>63</v>
      </c>
      <c r="D588">
        <v>8</v>
      </c>
      <c r="E588">
        <v>2488</v>
      </c>
    </row>
    <row r="589" spans="1:5" ht="12.75">
      <c r="A589">
        <v>61009</v>
      </c>
      <c r="B589">
        <v>61</v>
      </c>
      <c r="C589" t="s">
        <v>63</v>
      </c>
      <c r="D589">
        <v>9</v>
      </c>
      <c r="E589">
        <v>2666</v>
      </c>
    </row>
    <row r="590" spans="1:5" ht="12.75">
      <c r="A590">
        <v>61010</v>
      </c>
      <c r="B590">
        <v>61</v>
      </c>
      <c r="C590" t="s">
        <v>63</v>
      </c>
      <c r="D590">
        <v>10</v>
      </c>
      <c r="E590">
        <v>2577</v>
      </c>
    </row>
    <row r="591" spans="1:5" ht="12.75">
      <c r="A591">
        <v>61011</v>
      </c>
      <c r="B591">
        <v>61</v>
      </c>
      <c r="C591" t="s">
        <v>63</v>
      </c>
      <c r="D591">
        <v>11</v>
      </c>
      <c r="E591">
        <v>2577</v>
      </c>
    </row>
    <row r="592" spans="1:5" ht="12.75">
      <c r="A592">
        <v>61012</v>
      </c>
      <c r="B592">
        <v>61</v>
      </c>
      <c r="C592" t="s">
        <v>63</v>
      </c>
      <c r="D592">
        <v>12</v>
      </c>
      <c r="E592">
        <v>2577</v>
      </c>
    </row>
    <row r="593" spans="1:5" ht="12.75">
      <c r="A593">
        <v>61013</v>
      </c>
      <c r="B593">
        <v>61</v>
      </c>
      <c r="C593" t="s">
        <v>63</v>
      </c>
      <c r="D593">
        <v>13</v>
      </c>
      <c r="E593">
        <v>3110</v>
      </c>
    </row>
    <row r="594" spans="1:5" ht="12.75">
      <c r="A594">
        <v>62001</v>
      </c>
      <c r="B594">
        <v>62</v>
      </c>
      <c r="C594" t="s">
        <v>64</v>
      </c>
      <c r="D594">
        <v>1</v>
      </c>
      <c r="E594">
        <v>2438</v>
      </c>
    </row>
    <row r="595" spans="1:5" ht="12.75">
      <c r="A595">
        <v>62002</v>
      </c>
      <c r="B595">
        <v>62</v>
      </c>
      <c r="C595" t="s">
        <v>64</v>
      </c>
      <c r="D595">
        <v>2</v>
      </c>
      <c r="E595">
        <v>2299</v>
      </c>
    </row>
    <row r="596" spans="1:5" ht="12.75">
      <c r="A596">
        <v>62003</v>
      </c>
      <c r="B596">
        <v>62</v>
      </c>
      <c r="C596" t="s">
        <v>64</v>
      </c>
      <c r="D596">
        <v>3</v>
      </c>
      <c r="E596">
        <v>2090</v>
      </c>
    </row>
    <row r="597" spans="1:5" ht="12.75">
      <c r="A597">
        <v>62004</v>
      </c>
      <c r="B597">
        <v>62</v>
      </c>
      <c r="C597" t="s">
        <v>64</v>
      </c>
      <c r="D597">
        <v>4</v>
      </c>
      <c r="E597">
        <v>2090</v>
      </c>
    </row>
    <row r="598" spans="1:5" ht="12.75">
      <c r="A598">
        <v>62005</v>
      </c>
      <c r="B598">
        <v>62</v>
      </c>
      <c r="C598" t="s">
        <v>64</v>
      </c>
      <c r="D598">
        <v>5</v>
      </c>
      <c r="E598">
        <v>2090</v>
      </c>
    </row>
    <row r="599" spans="1:5" ht="12.75">
      <c r="A599">
        <v>62006</v>
      </c>
      <c r="B599">
        <v>62</v>
      </c>
      <c r="C599" t="s">
        <v>64</v>
      </c>
      <c r="D599">
        <v>6</v>
      </c>
      <c r="E599">
        <v>2438</v>
      </c>
    </row>
    <row r="600" spans="1:5" ht="12.75">
      <c r="A600">
        <v>62007</v>
      </c>
      <c r="B600">
        <v>62</v>
      </c>
      <c r="C600" t="s">
        <v>64</v>
      </c>
      <c r="D600">
        <v>7</v>
      </c>
      <c r="E600">
        <v>2438</v>
      </c>
    </row>
    <row r="601" spans="1:5" ht="12.75">
      <c r="A601">
        <v>62008</v>
      </c>
      <c r="B601">
        <v>62</v>
      </c>
      <c r="C601" t="s">
        <v>64</v>
      </c>
      <c r="D601">
        <v>8</v>
      </c>
      <c r="E601">
        <v>2299</v>
      </c>
    </row>
    <row r="602" spans="1:5" ht="12.75">
      <c r="A602">
        <v>62009</v>
      </c>
      <c r="B602">
        <v>62</v>
      </c>
      <c r="C602" t="s">
        <v>64</v>
      </c>
      <c r="D602">
        <v>9</v>
      </c>
      <c r="E602">
        <v>2299</v>
      </c>
    </row>
    <row r="603" spans="1:5" ht="12.75">
      <c r="A603">
        <v>62010</v>
      </c>
      <c r="B603">
        <v>62</v>
      </c>
      <c r="C603" t="s">
        <v>64</v>
      </c>
      <c r="D603">
        <v>10</v>
      </c>
      <c r="E603">
        <v>2090</v>
      </c>
    </row>
    <row r="604" spans="1:5" ht="12.75">
      <c r="A604">
        <v>64001</v>
      </c>
      <c r="B604">
        <v>64</v>
      </c>
      <c r="C604" t="s">
        <v>65</v>
      </c>
      <c r="D604">
        <v>1</v>
      </c>
      <c r="E604">
        <v>3436</v>
      </c>
    </row>
    <row r="605" spans="1:5" ht="12.75">
      <c r="A605">
        <v>64002</v>
      </c>
      <c r="B605">
        <v>64</v>
      </c>
      <c r="C605" t="s">
        <v>65</v>
      </c>
      <c r="D605">
        <v>2</v>
      </c>
      <c r="E605">
        <v>3436</v>
      </c>
    </row>
    <row r="606" spans="1:5" ht="12.75">
      <c r="A606">
        <v>64003</v>
      </c>
      <c r="B606">
        <v>64</v>
      </c>
      <c r="C606" t="s">
        <v>65</v>
      </c>
      <c r="D606">
        <v>3</v>
      </c>
      <c r="E606">
        <v>3436</v>
      </c>
    </row>
    <row r="607" spans="1:5" ht="12.75">
      <c r="A607">
        <v>64004</v>
      </c>
      <c r="B607">
        <v>64</v>
      </c>
      <c r="C607" t="s">
        <v>65</v>
      </c>
      <c r="D607">
        <v>4</v>
      </c>
      <c r="E607">
        <v>3436</v>
      </c>
    </row>
    <row r="608" spans="1:5" ht="12.75">
      <c r="A608">
        <v>64005</v>
      </c>
      <c r="B608">
        <v>64</v>
      </c>
      <c r="C608" t="s">
        <v>65</v>
      </c>
      <c r="D608">
        <v>5</v>
      </c>
      <c r="E608">
        <v>3436</v>
      </c>
    </row>
    <row r="609" spans="1:5" ht="12.75">
      <c r="A609">
        <v>64006</v>
      </c>
      <c r="B609">
        <v>64</v>
      </c>
      <c r="C609" t="s">
        <v>65</v>
      </c>
      <c r="D609">
        <v>6</v>
      </c>
      <c r="E609">
        <v>3436</v>
      </c>
    </row>
    <row r="610" spans="1:5" ht="12.75">
      <c r="A610">
        <v>64007</v>
      </c>
      <c r="B610">
        <v>64</v>
      </c>
      <c r="C610" t="s">
        <v>65</v>
      </c>
      <c r="D610">
        <v>7</v>
      </c>
      <c r="E610">
        <v>3436</v>
      </c>
    </row>
    <row r="611" spans="1:5" ht="12.75">
      <c r="A611">
        <v>64008</v>
      </c>
      <c r="B611">
        <v>64</v>
      </c>
      <c r="C611" t="s">
        <v>65</v>
      </c>
      <c r="D611">
        <v>8</v>
      </c>
      <c r="E611">
        <v>3436</v>
      </c>
    </row>
    <row r="612" spans="1:5" ht="12.75">
      <c r="A612">
        <v>64009</v>
      </c>
      <c r="B612">
        <v>64</v>
      </c>
      <c r="C612" t="s">
        <v>65</v>
      </c>
      <c r="D612">
        <v>9</v>
      </c>
      <c r="E612">
        <v>3436</v>
      </c>
    </row>
    <row r="613" spans="1:5" ht="12.75">
      <c r="A613">
        <v>65001</v>
      </c>
      <c r="B613">
        <v>65</v>
      </c>
      <c r="C613" t="s">
        <v>66</v>
      </c>
      <c r="D613">
        <v>1</v>
      </c>
      <c r="E613">
        <v>1764</v>
      </c>
    </row>
    <row r="614" spans="1:5" ht="12.75">
      <c r="A614">
        <v>65002</v>
      </c>
      <c r="B614">
        <v>65</v>
      </c>
      <c r="C614" t="s">
        <v>66</v>
      </c>
      <c r="D614">
        <v>2</v>
      </c>
      <c r="E614">
        <v>1764</v>
      </c>
    </row>
    <row r="615" spans="1:5" ht="12.75">
      <c r="A615">
        <v>65003</v>
      </c>
      <c r="B615">
        <v>65</v>
      </c>
      <c r="C615" t="s">
        <v>66</v>
      </c>
      <c r="D615">
        <v>3</v>
      </c>
      <c r="E615">
        <v>1764</v>
      </c>
    </row>
    <row r="616" spans="1:5" ht="12.75">
      <c r="A616">
        <v>65004</v>
      </c>
      <c r="B616">
        <v>65</v>
      </c>
      <c r="C616" t="s">
        <v>66</v>
      </c>
      <c r="D616">
        <v>4</v>
      </c>
      <c r="E616">
        <v>1764</v>
      </c>
    </row>
    <row r="617" spans="1:5" ht="12.75">
      <c r="A617">
        <v>65005</v>
      </c>
      <c r="B617">
        <v>65</v>
      </c>
      <c r="C617" t="s">
        <v>66</v>
      </c>
      <c r="D617">
        <v>5</v>
      </c>
      <c r="E617">
        <v>1764</v>
      </c>
    </row>
    <row r="618" spans="1:5" ht="12.75">
      <c r="A618">
        <v>65006</v>
      </c>
      <c r="B618">
        <v>65</v>
      </c>
      <c r="C618" t="s">
        <v>66</v>
      </c>
      <c r="D618">
        <v>6</v>
      </c>
      <c r="E618">
        <v>1764</v>
      </c>
    </row>
    <row r="619" spans="1:5" ht="12.75">
      <c r="A619">
        <v>66001</v>
      </c>
      <c r="B619">
        <v>66</v>
      </c>
      <c r="C619" t="s">
        <v>67</v>
      </c>
      <c r="D619">
        <v>1</v>
      </c>
      <c r="E619">
        <v>1476</v>
      </c>
    </row>
    <row r="620" spans="1:5" ht="12.75">
      <c r="A620">
        <v>66002</v>
      </c>
      <c r="B620">
        <v>66</v>
      </c>
      <c r="C620" t="s">
        <v>67</v>
      </c>
      <c r="D620">
        <v>2</v>
      </c>
      <c r="E620">
        <v>1590</v>
      </c>
    </row>
    <row r="621" spans="1:5" ht="12.75">
      <c r="A621">
        <v>66003</v>
      </c>
      <c r="B621">
        <v>66</v>
      </c>
      <c r="C621" t="s">
        <v>67</v>
      </c>
      <c r="D621">
        <v>3</v>
      </c>
      <c r="E621">
        <v>1476</v>
      </c>
    </row>
    <row r="622" spans="1:5" ht="12.75">
      <c r="A622">
        <v>66004</v>
      </c>
      <c r="B622">
        <v>66</v>
      </c>
      <c r="C622" t="s">
        <v>67</v>
      </c>
      <c r="D622">
        <v>4</v>
      </c>
      <c r="E622">
        <v>1476</v>
      </c>
    </row>
    <row r="623" spans="1:5" ht="12.75">
      <c r="A623">
        <v>66005</v>
      </c>
      <c r="B623">
        <v>66</v>
      </c>
      <c r="C623" t="s">
        <v>67</v>
      </c>
      <c r="D623">
        <v>5</v>
      </c>
      <c r="E623">
        <v>1476</v>
      </c>
    </row>
    <row r="624" spans="1:5" ht="12.75">
      <c r="A624">
        <v>66006</v>
      </c>
      <c r="B624">
        <v>66</v>
      </c>
      <c r="C624" t="s">
        <v>67</v>
      </c>
      <c r="D624">
        <v>6</v>
      </c>
      <c r="E624">
        <v>1476</v>
      </c>
    </row>
    <row r="625" spans="1:5" ht="12.75">
      <c r="A625">
        <v>66007</v>
      </c>
      <c r="B625">
        <v>66</v>
      </c>
      <c r="C625" t="s">
        <v>67</v>
      </c>
      <c r="D625">
        <v>7</v>
      </c>
      <c r="E625">
        <v>1476</v>
      </c>
    </row>
    <row r="626" spans="1:5" ht="12.75">
      <c r="A626">
        <v>66008</v>
      </c>
      <c r="B626">
        <v>66</v>
      </c>
      <c r="C626" t="s">
        <v>67</v>
      </c>
      <c r="D626">
        <v>8</v>
      </c>
      <c r="E626">
        <v>1476</v>
      </c>
    </row>
    <row r="627" spans="1:5" ht="12.75">
      <c r="A627">
        <v>67002</v>
      </c>
      <c r="B627">
        <v>67</v>
      </c>
      <c r="C627" t="s">
        <v>68</v>
      </c>
      <c r="D627">
        <v>2</v>
      </c>
      <c r="E627">
        <v>4572</v>
      </c>
    </row>
    <row r="628" spans="1:5" ht="12.75">
      <c r="A628">
        <v>67003</v>
      </c>
      <c r="B628">
        <v>67</v>
      </c>
      <c r="C628" t="s">
        <v>68</v>
      </c>
      <c r="D628">
        <v>3</v>
      </c>
      <c r="E628">
        <v>4572</v>
      </c>
    </row>
    <row r="629" spans="1:5" ht="12.75">
      <c r="A629">
        <v>67004</v>
      </c>
      <c r="B629">
        <v>67</v>
      </c>
      <c r="C629" t="s">
        <v>68</v>
      </c>
      <c r="D629">
        <v>4</v>
      </c>
      <c r="E629">
        <v>4572</v>
      </c>
    </row>
    <row r="630" spans="1:5" ht="12.75">
      <c r="A630">
        <v>67005</v>
      </c>
      <c r="B630">
        <v>67</v>
      </c>
      <c r="C630" t="s">
        <v>68</v>
      </c>
      <c r="D630">
        <v>5</v>
      </c>
      <c r="E630">
        <v>4572</v>
      </c>
    </row>
    <row r="631" spans="1:5" ht="12.75">
      <c r="A631">
        <v>67006</v>
      </c>
      <c r="B631">
        <v>67</v>
      </c>
      <c r="C631" t="s">
        <v>68</v>
      </c>
      <c r="D631">
        <v>6</v>
      </c>
      <c r="E631">
        <v>4572</v>
      </c>
    </row>
    <row r="632" spans="1:5" ht="12.75">
      <c r="A632">
        <v>67007</v>
      </c>
      <c r="B632">
        <v>67</v>
      </c>
      <c r="C632" t="s">
        <v>68</v>
      </c>
      <c r="D632">
        <v>7</v>
      </c>
      <c r="E632">
        <v>4572</v>
      </c>
    </row>
    <row r="633" spans="1:5" ht="12.75">
      <c r="A633">
        <v>67008</v>
      </c>
      <c r="B633">
        <v>67</v>
      </c>
      <c r="C633" t="s">
        <v>68</v>
      </c>
      <c r="D633">
        <v>8</v>
      </c>
      <c r="E633">
        <v>4572</v>
      </c>
    </row>
    <row r="634" spans="1:5" ht="12.75">
      <c r="A634">
        <v>67009</v>
      </c>
      <c r="B634">
        <v>67</v>
      </c>
      <c r="C634" t="s">
        <v>68</v>
      </c>
      <c r="D634">
        <v>9</v>
      </c>
      <c r="E634">
        <v>4572</v>
      </c>
    </row>
    <row r="635" spans="1:5" ht="12.75">
      <c r="A635">
        <v>68002</v>
      </c>
      <c r="B635">
        <v>68</v>
      </c>
      <c r="C635" t="s">
        <v>69</v>
      </c>
      <c r="D635">
        <v>2</v>
      </c>
      <c r="E635">
        <v>3915</v>
      </c>
    </row>
    <row r="636" spans="1:5" ht="12.75">
      <c r="A636">
        <v>68003</v>
      </c>
      <c r="B636">
        <v>68</v>
      </c>
      <c r="C636" t="s">
        <v>69</v>
      </c>
      <c r="D636">
        <v>3</v>
      </c>
      <c r="E636">
        <v>3915</v>
      </c>
    </row>
    <row r="637" spans="1:5" ht="12.75">
      <c r="A637">
        <v>68004</v>
      </c>
      <c r="B637">
        <v>68</v>
      </c>
      <c r="C637" t="s">
        <v>69</v>
      </c>
      <c r="D637">
        <v>4</v>
      </c>
      <c r="E637">
        <v>3915</v>
      </c>
    </row>
    <row r="638" spans="1:5" ht="12.75">
      <c r="A638">
        <v>68005</v>
      </c>
      <c r="B638">
        <v>68</v>
      </c>
      <c r="C638" t="s">
        <v>69</v>
      </c>
      <c r="D638">
        <v>5</v>
      </c>
      <c r="E638">
        <v>3915</v>
      </c>
    </row>
    <row r="639" spans="1:5" ht="12.75">
      <c r="A639">
        <v>69002</v>
      </c>
      <c r="B639">
        <v>69</v>
      </c>
      <c r="C639" t="s">
        <v>70</v>
      </c>
      <c r="D639">
        <v>2</v>
      </c>
      <c r="E639">
        <v>1640</v>
      </c>
    </row>
    <row r="640" spans="1:5" ht="12.75">
      <c r="A640">
        <v>69003</v>
      </c>
      <c r="B640">
        <v>69</v>
      </c>
      <c r="C640" t="s">
        <v>70</v>
      </c>
      <c r="D640">
        <v>3</v>
      </c>
      <c r="E640">
        <v>1640</v>
      </c>
    </row>
    <row r="641" spans="1:5" ht="12.75">
      <c r="A641">
        <v>69004</v>
      </c>
      <c r="B641">
        <v>69</v>
      </c>
      <c r="C641" t="s">
        <v>70</v>
      </c>
      <c r="D641">
        <v>4</v>
      </c>
      <c r="E641">
        <v>1640</v>
      </c>
    </row>
    <row r="642" spans="1:5" ht="12.75">
      <c r="A642">
        <v>69005</v>
      </c>
      <c r="B642">
        <v>69</v>
      </c>
      <c r="C642" t="s">
        <v>70</v>
      </c>
      <c r="D642">
        <v>5</v>
      </c>
      <c r="E642">
        <v>1640</v>
      </c>
    </row>
    <row r="643" spans="1:5" ht="12.75">
      <c r="A643">
        <v>69006</v>
      </c>
      <c r="B643">
        <v>69</v>
      </c>
      <c r="C643" t="s">
        <v>70</v>
      </c>
      <c r="D643">
        <v>6</v>
      </c>
      <c r="E643">
        <v>1640</v>
      </c>
    </row>
    <row r="644" spans="1:5" ht="12.75">
      <c r="A644">
        <v>70002</v>
      </c>
      <c r="B644">
        <v>70</v>
      </c>
      <c r="C644" t="s">
        <v>71</v>
      </c>
      <c r="D644">
        <v>2</v>
      </c>
      <c r="E644">
        <v>6329</v>
      </c>
    </row>
    <row r="645" spans="1:5" ht="12.75">
      <c r="A645">
        <v>70003</v>
      </c>
      <c r="B645">
        <v>70</v>
      </c>
      <c r="C645" t="s">
        <v>71</v>
      </c>
      <c r="D645">
        <v>3</v>
      </c>
      <c r="E645">
        <v>6329</v>
      </c>
    </row>
    <row r="646" spans="1:5" ht="12.75">
      <c r="A646">
        <v>70004</v>
      </c>
      <c r="B646">
        <v>70</v>
      </c>
      <c r="C646" t="s">
        <v>71</v>
      </c>
      <c r="D646">
        <v>4</v>
      </c>
      <c r="E646">
        <v>6329</v>
      </c>
    </row>
    <row r="647" spans="1:5" ht="12.75">
      <c r="A647">
        <v>70005</v>
      </c>
      <c r="B647">
        <v>70</v>
      </c>
      <c r="C647" t="s">
        <v>71</v>
      </c>
      <c r="D647">
        <v>5</v>
      </c>
      <c r="E647">
        <v>6329</v>
      </c>
    </row>
    <row r="648" spans="1:5" ht="12.75">
      <c r="A648">
        <v>70006</v>
      </c>
      <c r="B648">
        <v>70</v>
      </c>
      <c r="C648" t="s">
        <v>71</v>
      </c>
      <c r="D648">
        <v>6</v>
      </c>
      <c r="E648">
        <v>6329</v>
      </c>
    </row>
    <row r="649" spans="1:5" ht="12.75">
      <c r="A649">
        <v>70007</v>
      </c>
      <c r="B649">
        <v>70</v>
      </c>
      <c r="C649" t="s">
        <v>71</v>
      </c>
      <c r="D649">
        <v>7</v>
      </c>
      <c r="E649">
        <v>6329</v>
      </c>
    </row>
    <row r="650" spans="1:5" ht="12.75">
      <c r="A650">
        <v>70008</v>
      </c>
      <c r="B650">
        <v>70</v>
      </c>
      <c r="C650" t="s">
        <v>71</v>
      </c>
      <c r="D650">
        <v>8</v>
      </c>
      <c r="E650">
        <v>6329</v>
      </c>
    </row>
    <row r="651" spans="1:5" ht="12.75">
      <c r="A651">
        <v>71001</v>
      </c>
      <c r="B651">
        <v>71</v>
      </c>
      <c r="C651" t="s">
        <v>72</v>
      </c>
      <c r="D651">
        <v>1</v>
      </c>
      <c r="E651">
        <v>3320</v>
      </c>
    </row>
    <row r="652" spans="1:5" ht="12.75">
      <c r="A652">
        <v>71002</v>
      </c>
      <c r="B652">
        <v>71</v>
      </c>
      <c r="C652" t="s">
        <v>72</v>
      </c>
      <c r="D652">
        <v>2</v>
      </c>
      <c r="E652">
        <v>3320</v>
      </c>
    </row>
    <row r="653" spans="1:5" ht="12.75">
      <c r="A653">
        <v>71003</v>
      </c>
      <c r="B653">
        <v>71</v>
      </c>
      <c r="C653" t="s">
        <v>72</v>
      </c>
      <c r="D653">
        <v>3</v>
      </c>
      <c r="E653">
        <v>2675</v>
      </c>
    </row>
    <row r="654" spans="1:5" ht="12.75">
      <c r="A654">
        <v>71004</v>
      </c>
      <c r="B654">
        <v>71</v>
      </c>
      <c r="C654" t="s">
        <v>72</v>
      </c>
      <c r="D654">
        <v>4</v>
      </c>
      <c r="E654">
        <v>3228</v>
      </c>
    </row>
    <row r="655" spans="1:5" ht="12.75">
      <c r="A655">
        <v>71005</v>
      </c>
      <c r="B655">
        <v>71</v>
      </c>
      <c r="C655" t="s">
        <v>72</v>
      </c>
      <c r="D655">
        <v>5</v>
      </c>
      <c r="E655">
        <v>3228</v>
      </c>
    </row>
    <row r="656" spans="1:5" ht="12.75">
      <c r="A656">
        <v>71006</v>
      </c>
      <c r="B656">
        <v>71</v>
      </c>
      <c r="C656" t="s">
        <v>72</v>
      </c>
      <c r="D656">
        <v>6</v>
      </c>
      <c r="E656">
        <v>3320</v>
      </c>
    </row>
    <row r="657" spans="1:5" ht="12.75">
      <c r="A657">
        <v>71007</v>
      </c>
      <c r="B657">
        <v>71</v>
      </c>
      <c r="C657" t="s">
        <v>72</v>
      </c>
      <c r="D657">
        <v>7</v>
      </c>
      <c r="E657">
        <v>3320</v>
      </c>
    </row>
    <row r="658" spans="1:5" ht="12.75">
      <c r="A658">
        <v>71008</v>
      </c>
      <c r="B658">
        <v>71</v>
      </c>
      <c r="C658" t="s">
        <v>72</v>
      </c>
      <c r="D658">
        <v>8</v>
      </c>
      <c r="E658">
        <v>3320</v>
      </c>
    </row>
    <row r="659" spans="1:5" ht="12.75">
      <c r="A659">
        <v>71009</v>
      </c>
      <c r="B659">
        <v>71</v>
      </c>
      <c r="C659" t="s">
        <v>72</v>
      </c>
      <c r="D659">
        <v>9</v>
      </c>
      <c r="E659">
        <v>3320</v>
      </c>
    </row>
    <row r="660" spans="1:5" ht="12.75">
      <c r="A660">
        <v>71010</v>
      </c>
      <c r="B660">
        <v>71</v>
      </c>
      <c r="C660" t="s">
        <v>72</v>
      </c>
      <c r="D660">
        <v>10</v>
      </c>
      <c r="E660">
        <v>3228</v>
      </c>
    </row>
    <row r="661" spans="1:5" ht="12.75">
      <c r="A661">
        <v>71011</v>
      </c>
      <c r="B661">
        <v>71</v>
      </c>
      <c r="C661" t="s">
        <v>72</v>
      </c>
      <c r="D661">
        <v>11</v>
      </c>
      <c r="E661">
        <v>3320</v>
      </c>
    </row>
    <row r="662" spans="1:5" ht="12.75">
      <c r="A662">
        <v>72001</v>
      </c>
      <c r="B662">
        <v>72</v>
      </c>
      <c r="C662" t="s">
        <v>73</v>
      </c>
      <c r="D662">
        <v>1</v>
      </c>
      <c r="E662">
        <v>3753</v>
      </c>
    </row>
    <row r="663" spans="1:5" ht="12.75">
      <c r="A663">
        <v>72002</v>
      </c>
      <c r="B663">
        <v>72</v>
      </c>
      <c r="C663" t="s">
        <v>73</v>
      </c>
      <c r="D663">
        <v>2</v>
      </c>
      <c r="E663">
        <v>3753</v>
      </c>
    </row>
    <row r="664" spans="1:5" ht="12.75">
      <c r="A664">
        <v>72003</v>
      </c>
      <c r="B664">
        <v>72</v>
      </c>
      <c r="C664" t="s">
        <v>73</v>
      </c>
      <c r="D664">
        <v>3</v>
      </c>
      <c r="E664">
        <v>3753</v>
      </c>
    </row>
    <row r="665" spans="1:5" ht="12.75">
      <c r="A665">
        <v>73001</v>
      </c>
      <c r="B665">
        <v>73</v>
      </c>
      <c r="C665" t="s">
        <v>74</v>
      </c>
      <c r="D665">
        <v>1</v>
      </c>
      <c r="E665">
        <v>1828</v>
      </c>
    </row>
    <row r="666" spans="1:5" ht="12.75">
      <c r="A666">
        <v>73002</v>
      </c>
      <c r="B666">
        <v>73</v>
      </c>
      <c r="C666" t="s">
        <v>74</v>
      </c>
      <c r="D666">
        <v>2</v>
      </c>
      <c r="E666">
        <v>1828</v>
      </c>
    </row>
    <row r="667" spans="1:5" ht="12.75">
      <c r="A667">
        <v>73003</v>
      </c>
      <c r="B667">
        <v>73</v>
      </c>
      <c r="C667" t="s">
        <v>74</v>
      </c>
      <c r="D667">
        <v>3</v>
      </c>
      <c r="E667">
        <v>1828</v>
      </c>
    </row>
    <row r="668" spans="1:5" ht="12.75">
      <c r="A668">
        <v>73004</v>
      </c>
      <c r="B668">
        <v>73</v>
      </c>
      <c r="C668" t="s">
        <v>74</v>
      </c>
      <c r="D668">
        <v>4</v>
      </c>
      <c r="E668">
        <v>1828</v>
      </c>
    </row>
    <row r="669" spans="1:5" ht="12.75">
      <c r="A669">
        <v>73005</v>
      </c>
      <c r="B669">
        <v>73</v>
      </c>
      <c r="C669" t="s">
        <v>74</v>
      </c>
      <c r="D669">
        <v>5</v>
      </c>
      <c r="E669">
        <v>1727</v>
      </c>
    </row>
    <row r="670" spans="1:5" ht="12.75">
      <c r="A670">
        <v>73006</v>
      </c>
      <c r="B670">
        <v>73</v>
      </c>
      <c r="C670" t="s">
        <v>74</v>
      </c>
      <c r="D670">
        <v>6</v>
      </c>
      <c r="E670">
        <v>1828</v>
      </c>
    </row>
    <row r="671" spans="1:5" ht="12.75">
      <c r="A671">
        <v>73007</v>
      </c>
      <c r="B671">
        <v>73</v>
      </c>
      <c r="C671" t="s">
        <v>74</v>
      </c>
      <c r="D671">
        <v>7</v>
      </c>
      <c r="E671">
        <v>1828</v>
      </c>
    </row>
    <row r="672" spans="1:5" ht="12.75">
      <c r="A672">
        <v>73008</v>
      </c>
      <c r="B672">
        <v>73</v>
      </c>
      <c r="C672" t="s">
        <v>74</v>
      </c>
      <c r="D672">
        <v>8</v>
      </c>
      <c r="E672">
        <v>1676</v>
      </c>
    </row>
    <row r="673" spans="1:5" ht="12.75">
      <c r="A673">
        <v>74001</v>
      </c>
      <c r="B673">
        <v>74</v>
      </c>
      <c r="C673" t="s">
        <v>75</v>
      </c>
      <c r="D673">
        <v>1</v>
      </c>
      <c r="E673">
        <v>9945</v>
      </c>
    </row>
    <row r="674" spans="1:5" ht="12.75">
      <c r="A674">
        <v>74002</v>
      </c>
      <c r="B674">
        <v>74</v>
      </c>
      <c r="C674" t="s">
        <v>75</v>
      </c>
      <c r="D674">
        <v>2</v>
      </c>
      <c r="E674">
        <v>9945</v>
      </c>
    </row>
    <row r="675" spans="1:5" ht="12.75">
      <c r="A675">
        <v>74003</v>
      </c>
      <c r="B675">
        <v>74</v>
      </c>
      <c r="C675" t="s">
        <v>75</v>
      </c>
      <c r="D675">
        <v>3</v>
      </c>
      <c r="E675">
        <v>9945</v>
      </c>
    </row>
    <row r="676" spans="1:5" ht="12.75">
      <c r="A676">
        <v>74004</v>
      </c>
      <c r="B676">
        <v>74</v>
      </c>
      <c r="C676" t="s">
        <v>75</v>
      </c>
      <c r="D676">
        <v>4</v>
      </c>
      <c r="E676">
        <v>9945</v>
      </c>
    </row>
    <row r="677" spans="1:5" ht="12.75">
      <c r="A677">
        <v>74005</v>
      </c>
      <c r="B677">
        <v>74</v>
      </c>
      <c r="C677" t="s">
        <v>75</v>
      </c>
      <c r="D677">
        <v>5</v>
      </c>
      <c r="E677">
        <v>9945</v>
      </c>
    </row>
    <row r="678" spans="1:5" ht="12.75">
      <c r="A678">
        <v>74006</v>
      </c>
      <c r="B678">
        <v>74</v>
      </c>
      <c r="C678" t="s">
        <v>75</v>
      </c>
      <c r="D678">
        <v>6</v>
      </c>
      <c r="E678">
        <v>9945</v>
      </c>
    </row>
    <row r="679" spans="1:5" ht="12.75">
      <c r="A679">
        <v>75001</v>
      </c>
      <c r="B679">
        <v>75</v>
      </c>
      <c r="C679" t="s">
        <v>76</v>
      </c>
      <c r="D679">
        <v>1</v>
      </c>
      <c r="E679">
        <v>2131</v>
      </c>
    </row>
    <row r="680" spans="1:5" ht="12.75">
      <c r="A680">
        <v>75002</v>
      </c>
      <c r="B680">
        <v>75</v>
      </c>
      <c r="C680" t="s">
        <v>76</v>
      </c>
      <c r="D680">
        <v>2</v>
      </c>
      <c r="E680">
        <v>1937</v>
      </c>
    </row>
    <row r="681" spans="1:5" ht="12.75">
      <c r="A681">
        <v>75003</v>
      </c>
      <c r="B681">
        <v>75</v>
      </c>
      <c r="C681" t="s">
        <v>76</v>
      </c>
      <c r="D681">
        <v>3</v>
      </c>
      <c r="E681">
        <v>2131</v>
      </c>
    </row>
    <row r="682" spans="1:5" ht="12.75">
      <c r="A682">
        <v>75004</v>
      </c>
      <c r="B682">
        <v>75</v>
      </c>
      <c r="C682" t="s">
        <v>76</v>
      </c>
      <c r="D682">
        <v>4</v>
      </c>
      <c r="E682">
        <v>1873</v>
      </c>
    </row>
    <row r="683" spans="1:5" ht="12.75">
      <c r="A683">
        <v>75005</v>
      </c>
      <c r="B683">
        <v>75</v>
      </c>
      <c r="C683" t="s">
        <v>76</v>
      </c>
      <c r="D683">
        <v>5</v>
      </c>
      <c r="E683">
        <v>2325</v>
      </c>
    </row>
    <row r="684" spans="1:5" ht="12.75">
      <c r="A684">
        <v>75006</v>
      </c>
      <c r="B684">
        <v>75</v>
      </c>
      <c r="C684" t="s">
        <v>76</v>
      </c>
      <c r="D684">
        <v>6</v>
      </c>
      <c r="E684">
        <v>1937</v>
      </c>
    </row>
    <row r="685" spans="1:5" ht="12.75">
      <c r="A685">
        <v>75007</v>
      </c>
      <c r="B685">
        <v>75</v>
      </c>
      <c r="C685" t="s">
        <v>76</v>
      </c>
      <c r="D685">
        <v>7</v>
      </c>
      <c r="E685">
        <v>2325</v>
      </c>
    </row>
    <row r="686" spans="1:5" ht="12.75">
      <c r="A686">
        <v>75008</v>
      </c>
      <c r="B686">
        <v>75</v>
      </c>
      <c r="C686" t="s">
        <v>76</v>
      </c>
      <c r="D686">
        <v>8</v>
      </c>
      <c r="E686">
        <v>2325</v>
      </c>
    </row>
    <row r="687" spans="1:5" ht="12.75">
      <c r="A687">
        <v>75009</v>
      </c>
      <c r="B687">
        <v>75</v>
      </c>
      <c r="C687" t="s">
        <v>76</v>
      </c>
      <c r="D687">
        <v>9</v>
      </c>
      <c r="E687">
        <v>1937</v>
      </c>
    </row>
    <row r="688" spans="1:5" ht="12.75">
      <c r="A688">
        <v>76001</v>
      </c>
      <c r="B688">
        <v>76</v>
      </c>
      <c r="C688" t="s">
        <v>77</v>
      </c>
      <c r="D688">
        <v>1</v>
      </c>
      <c r="E688">
        <v>2822</v>
      </c>
    </row>
    <row r="689" spans="1:5" ht="12.75">
      <c r="A689">
        <v>76002</v>
      </c>
      <c r="B689">
        <v>76</v>
      </c>
      <c r="C689" t="s">
        <v>77</v>
      </c>
      <c r="D689">
        <v>2</v>
      </c>
      <c r="E689">
        <v>2480</v>
      </c>
    </row>
    <row r="690" spans="1:5" ht="12.75">
      <c r="A690">
        <v>76003</v>
      </c>
      <c r="B690">
        <v>76</v>
      </c>
      <c r="C690" t="s">
        <v>77</v>
      </c>
      <c r="D690">
        <v>3</v>
      </c>
      <c r="E690">
        <v>2480</v>
      </c>
    </row>
    <row r="691" spans="1:5" ht="12.75">
      <c r="A691">
        <v>76004</v>
      </c>
      <c r="B691">
        <v>76</v>
      </c>
      <c r="C691" t="s">
        <v>77</v>
      </c>
      <c r="D691">
        <v>4</v>
      </c>
      <c r="E691">
        <v>2480</v>
      </c>
    </row>
    <row r="692" spans="1:5" ht="12.75">
      <c r="A692">
        <v>76006</v>
      </c>
      <c r="B692">
        <v>76</v>
      </c>
      <c r="C692" t="s">
        <v>77</v>
      </c>
      <c r="D692">
        <v>6</v>
      </c>
      <c r="E692">
        <v>2480</v>
      </c>
    </row>
    <row r="693" spans="1:5" ht="12.75">
      <c r="A693">
        <v>76007</v>
      </c>
      <c r="B693">
        <v>76</v>
      </c>
      <c r="C693" t="s">
        <v>77</v>
      </c>
      <c r="D693">
        <v>7</v>
      </c>
      <c r="E693">
        <v>2480</v>
      </c>
    </row>
    <row r="694" spans="1:5" ht="12.75">
      <c r="A694">
        <v>76011</v>
      </c>
      <c r="B694">
        <v>76</v>
      </c>
      <c r="C694" t="s">
        <v>77</v>
      </c>
      <c r="D694">
        <v>11</v>
      </c>
      <c r="E694">
        <v>2480</v>
      </c>
    </row>
    <row r="695" spans="1:5" ht="12.75">
      <c r="A695">
        <v>76012</v>
      </c>
      <c r="B695">
        <v>76</v>
      </c>
      <c r="C695" t="s">
        <v>77</v>
      </c>
      <c r="D695">
        <v>12</v>
      </c>
      <c r="E695">
        <v>2480</v>
      </c>
    </row>
    <row r="696" spans="1:5" ht="12.75">
      <c r="A696">
        <v>76013</v>
      </c>
      <c r="B696">
        <v>76</v>
      </c>
      <c r="C696" t="s">
        <v>77</v>
      </c>
      <c r="D696">
        <v>13</v>
      </c>
      <c r="E696">
        <v>2822</v>
      </c>
    </row>
    <row r="697" spans="1:5" ht="12.75">
      <c r="A697">
        <v>76014</v>
      </c>
      <c r="B697">
        <v>76</v>
      </c>
      <c r="C697" t="s">
        <v>77</v>
      </c>
      <c r="D697">
        <v>14</v>
      </c>
      <c r="E697">
        <v>2565</v>
      </c>
    </row>
    <row r="698" spans="1:5" ht="12.75">
      <c r="A698">
        <v>77002</v>
      </c>
      <c r="B698">
        <v>77</v>
      </c>
      <c r="C698" t="s">
        <v>78</v>
      </c>
      <c r="D698">
        <v>2</v>
      </c>
      <c r="E698">
        <v>2810</v>
      </c>
    </row>
    <row r="699" spans="1:5" ht="12.75">
      <c r="A699">
        <v>77003</v>
      </c>
      <c r="B699">
        <v>77</v>
      </c>
      <c r="C699" t="s">
        <v>78</v>
      </c>
      <c r="D699">
        <v>3</v>
      </c>
      <c r="E699">
        <v>2435</v>
      </c>
    </row>
    <row r="700" spans="1:5" ht="12.75">
      <c r="A700">
        <v>77004</v>
      </c>
      <c r="B700">
        <v>77</v>
      </c>
      <c r="C700" t="s">
        <v>78</v>
      </c>
      <c r="D700">
        <v>4</v>
      </c>
      <c r="E700">
        <v>2435</v>
      </c>
    </row>
    <row r="701" spans="1:5" ht="12.75">
      <c r="A701">
        <v>77005</v>
      </c>
      <c r="B701">
        <v>77</v>
      </c>
      <c r="C701" t="s">
        <v>78</v>
      </c>
      <c r="D701">
        <v>5</v>
      </c>
      <c r="E701">
        <v>2623</v>
      </c>
    </row>
    <row r="702" spans="1:5" ht="12.75">
      <c r="A702">
        <v>77006</v>
      </c>
      <c r="B702">
        <v>77</v>
      </c>
      <c r="C702" t="s">
        <v>78</v>
      </c>
      <c r="D702">
        <v>6</v>
      </c>
      <c r="E702">
        <v>2810</v>
      </c>
    </row>
    <row r="703" spans="1:5" ht="12.75">
      <c r="A703">
        <v>77007</v>
      </c>
      <c r="B703">
        <v>77</v>
      </c>
      <c r="C703" t="s">
        <v>78</v>
      </c>
      <c r="D703">
        <v>7</v>
      </c>
      <c r="E703">
        <v>2623</v>
      </c>
    </row>
    <row r="704" spans="1:5" ht="12.75">
      <c r="A704">
        <v>77008</v>
      </c>
      <c r="B704">
        <v>77</v>
      </c>
      <c r="C704" t="s">
        <v>78</v>
      </c>
      <c r="D704">
        <v>8</v>
      </c>
      <c r="E704">
        <v>2623</v>
      </c>
    </row>
    <row r="705" spans="1:5" ht="12.75">
      <c r="A705">
        <v>77009</v>
      </c>
      <c r="B705">
        <v>77</v>
      </c>
      <c r="C705" t="s">
        <v>78</v>
      </c>
      <c r="D705">
        <v>9</v>
      </c>
      <c r="E705">
        <v>2810</v>
      </c>
    </row>
    <row r="706" spans="1:5" ht="12.75">
      <c r="A706">
        <v>77010</v>
      </c>
      <c r="B706">
        <v>77</v>
      </c>
      <c r="C706" t="s">
        <v>78</v>
      </c>
      <c r="D706">
        <v>10</v>
      </c>
      <c r="E706">
        <v>2435</v>
      </c>
    </row>
    <row r="707" spans="1:5" ht="12.75">
      <c r="A707">
        <v>77011</v>
      </c>
      <c r="B707">
        <v>77</v>
      </c>
      <c r="C707" t="s">
        <v>78</v>
      </c>
      <c r="D707">
        <v>11</v>
      </c>
      <c r="E707">
        <v>2435</v>
      </c>
    </row>
    <row r="708" spans="1:5" ht="12.75">
      <c r="A708">
        <v>77012</v>
      </c>
      <c r="B708">
        <v>77</v>
      </c>
      <c r="C708" t="s">
        <v>78</v>
      </c>
      <c r="D708">
        <v>12</v>
      </c>
      <c r="E708">
        <v>2623</v>
      </c>
    </row>
    <row r="709" spans="1:5" ht="12.75">
      <c r="A709">
        <v>77013</v>
      </c>
      <c r="B709">
        <v>77</v>
      </c>
      <c r="C709" t="s">
        <v>78</v>
      </c>
      <c r="D709">
        <v>13</v>
      </c>
      <c r="E709">
        <v>2716</v>
      </c>
    </row>
    <row r="710" spans="1:5" ht="12.75">
      <c r="A710">
        <v>77014</v>
      </c>
      <c r="B710">
        <v>77</v>
      </c>
      <c r="C710" t="s">
        <v>78</v>
      </c>
      <c r="D710">
        <v>14</v>
      </c>
      <c r="E710">
        <v>2623</v>
      </c>
    </row>
    <row r="711" spans="1:5" ht="12.75">
      <c r="A711">
        <v>77015</v>
      </c>
      <c r="B711">
        <v>77</v>
      </c>
      <c r="C711" t="s">
        <v>78</v>
      </c>
      <c r="D711">
        <v>15</v>
      </c>
      <c r="E711">
        <v>2810</v>
      </c>
    </row>
    <row r="712" spans="1:5" ht="12.75">
      <c r="A712">
        <v>78002</v>
      </c>
      <c r="B712">
        <v>78</v>
      </c>
      <c r="C712" t="s">
        <v>79</v>
      </c>
      <c r="D712">
        <v>2</v>
      </c>
      <c r="E712">
        <v>2354</v>
      </c>
    </row>
    <row r="713" spans="1:5" ht="12.75">
      <c r="A713">
        <v>78003</v>
      </c>
      <c r="B713">
        <v>78</v>
      </c>
      <c r="C713" t="s">
        <v>79</v>
      </c>
      <c r="D713">
        <v>3</v>
      </c>
      <c r="E713">
        <v>2219</v>
      </c>
    </row>
    <row r="714" spans="1:5" ht="12.75">
      <c r="A714">
        <v>78004</v>
      </c>
      <c r="B714">
        <v>78</v>
      </c>
      <c r="C714" t="s">
        <v>79</v>
      </c>
      <c r="D714">
        <v>4</v>
      </c>
      <c r="E714">
        <v>1950</v>
      </c>
    </row>
    <row r="715" spans="1:5" ht="12.75">
      <c r="A715">
        <v>78005</v>
      </c>
      <c r="B715">
        <v>78</v>
      </c>
      <c r="C715" t="s">
        <v>79</v>
      </c>
      <c r="D715">
        <v>5</v>
      </c>
      <c r="E715">
        <v>1950</v>
      </c>
    </row>
    <row r="716" spans="1:5" ht="12.75">
      <c r="A716">
        <v>78006</v>
      </c>
      <c r="B716">
        <v>78</v>
      </c>
      <c r="C716" t="s">
        <v>79</v>
      </c>
      <c r="D716">
        <v>6</v>
      </c>
      <c r="E716">
        <v>2354</v>
      </c>
    </row>
    <row r="717" spans="1:5" ht="12.75">
      <c r="A717">
        <v>78007</v>
      </c>
      <c r="B717">
        <v>78</v>
      </c>
      <c r="C717" t="s">
        <v>79</v>
      </c>
      <c r="D717">
        <v>7</v>
      </c>
      <c r="E717">
        <v>2219</v>
      </c>
    </row>
    <row r="718" spans="1:5" ht="12.75">
      <c r="A718">
        <v>78008</v>
      </c>
      <c r="B718">
        <v>78</v>
      </c>
      <c r="C718" t="s">
        <v>79</v>
      </c>
      <c r="D718">
        <v>8</v>
      </c>
      <c r="E718">
        <v>2219</v>
      </c>
    </row>
    <row r="719" spans="1:5" ht="12.75">
      <c r="A719">
        <v>78009</v>
      </c>
      <c r="B719">
        <v>78</v>
      </c>
      <c r="C719" t="s">
        <v>79</v>
      </c>
      <c r="D719">
        <v>9</v>
      </c>
      <c r="E719">
        <v>2219</v>
      </c>
    </row>
    <row r="720" spans="1:5" ht="12.75">
      <c r="A720">
        <v>78010</v>
      </c>
      <c r="B720">
        <v>78</v>
      </c>
      <c r="C720" t="s">
        <v>79</v>
      </c>
      <c r="D720">
        <v>10</v>
      </c>
      <c r="E720">
        <v>2017</v>
      </c>
    </row>
    <row r="721" spans="1:5" ht="12.75">
      <c r="A721">
        <v>78011</v>
      </c>
      <c r="B721">
        <v>78</v>
      </c>
      <c r="C721" t="s">
        <v>79</v>
      </c>
      <c r="D721">
        <v>11</v>
      </c>
      <c r="E721">
        <v>2017</v>
      </c>
    </row>
    <row r="722" spans="1:5" ht="12.75">
      <c r="A722">
        <v>78012</v>
      </c>
      <c r="B722">
        <v>78</v>
      </c>
      <c r="C722" t="s">
        <v>79</v>
      </c>
      <c r="D722">
        <v>12</v>
      </c>
      <c r="E722">
        <v>1950</v>
      </c>
    </row>
    <row r="723" spans="1:5" ht="12.75">
      <c r="A723">
        <v>78013</v>
      </c>
      <c r="B723">
        <v>78</v>
      </c>
      <c r="C723" t="s">
        <v>79</v>
      </c>
      <c r="D723">
        <v>13</v>
      </c>
      <c r="E723">
        <v>1950</v>
      </c>
    </row>
    <row r="724" spans="1:5" ht="12.75">
      <c r="A724">
        <v>78014</v>
      </c>
      <c r="B724">
        <v>78</v>
      </c>
      <c r="C724" t="s">
        <v>79</v>
      </c>
      <c r="D724">
        <v>14</v>
      </c>
      <c r="E724">
        <v>1950</v>
      </c>
    </row>
    <row r="725" spans="1:5" ht="12.75">
      <c r="A725">
        <v>78015</v>
      </c>
      <c r="B725">
        <v>78</v>
      </c>
      <c r="C725" t="s">
        <v>79</v>
      </c>
      <c r="D725">
        <v>15</v>
      </c>
      <c r="E725">
        <v>2017</v>
      </c>
    </row>
    <row r="726" spans="1:5" ht="12.75">
      <c r="A726">
        <v>78016</v>
      </c>
      <c r="B726">
        <v>78</v>
      </c>
      <c r="C726" t="s">
        <v>79</v>
      </c>
      <c r="D726">
        <v>16</v>
      </c>
      <c r="E726">
        <v>1950</v>
      </c>
    </row>
    <row r="727" spans="1:5" ht="12.75">
      <c r="A727">
        <v>78017</v>
      </c>
      <c r="B727">
        <v>78</v>
      </c>
      <c r="C727" t="s">
        <v>79</v>
      </c>
      <c r="D727">
        <v>17</v>
      </c>
      <c r="E727">
        <v>2017</v>
      </c>
    </row>
    <row r="728" spans="1:5" ht="12.75">
      <c r="A728">
        <v>78018</v>
      </c>
      <c r="B728">
        <v>78</v>
      </c>
      <c r="C728" t="s">
        <v>79</v>
      </c>
      <c r="D728">
        <v>18</v>
      </c>
      <c r="E728">
        <v>1950</v>
      </c>
    </row>
    <row r="729" spans="1:5" ht="12.75">
      <c r="A729">
        <v>78019</v>
      </c>
      <c r="B729">
        <v>78</v>
      </c>
      <c r="C729" t="s">
        <v>79</v>
      </c>
      <c r="D729">
        <v>19</v>
      </c>
      <c r="E729">
        <v>1950</v>
      </c>
    </row>
    <row r="730" spans="1:5" ht="12.75">
      <c r="A730">
        <v>78020</v>
      </c>
      <c r="B730">
        <v>78</v>
      </c>
      <c r="C730" t="s">
        <v>79</v>
      </c>
      <c r="D730">
        <v>20</v>
      </c>
      <c r="E730">
        <v>2017</v>
      </c>
    </row>
    <row r="731" spans="1:5" ht="12.75">
      <c r="A731">
        <v>79001</v>
      </c>
      <c r="B731">
        <v>79</v>
      </c>
      <c r="C731" t="s">
        <v>80</v>
      </c>
      <c r="D731">
        <v>1</v>
      </c>
      <c r="E731">
        <v>2036</v>
      </c>
    </row>
    <row r="732" spans="1:5" ht="12.75">
      <c r="A732">
        <v>79002</v>
      </c>
      <c r="B732">
        <v>79</v>
      </c>
      <c r="C732" t="s">
        <v>80</v>
      </c>
      <c r="D732">
        <v>2</v>
      </c>
      <c r="E732">
        <v>415</v>
      </c>
    </row>
    <row r="733" spans="1:5" ht="12.75">
      <c r="A733">
        <v>79003</v>
      </c>
      <c r="B733">
        <v>79</v>
      </c>
      <c r="C733" t="s">
        <v>80</v>
      </c>
      <c r="D733">
        <v>3</v>
      </c>
      <c r="E733">
        <v>679</v>
      </c>
    </row>
    <row r="734" spans="1:5" ht="12.75">
      <c r="A734">
        <v>80001</v>
      </c>
      <c r="B734">
        <v>80</v>
      </c>
      <c r="C734" t="s">
        <v>81</v>
      </c>
      <c r="D734">
        <v>1</v>
      </c>
      <c r="E734">
        <v>2129</v>
      </c>
    </row>
    <row r="735" spans="1:5" ht="12.75">
      <c r="A735">
        <v>80002</v>
      </c>
      <c r="B735">
        <v>80</v>
      </c>
      <c r="C735" t="s">
        <v>81</v>
      </c>
      <c r="D735">
        <v>2</v>
      </c>
      <c r="E735">
        <v>2129</v>
      </c>
    </row>
    <row r="736" spans="1:5" ht="12.75">
      <c r="A736">
        <v>80003</v>
      </c>
      <c r="B736">
        <v>80</v>
      </c>
      <c r="C736" t="s">
        <v>81</v>
      </c>
      <c r="D736">
        <v>3</v>
      </c>
      <c r="E736">
        <v>2129</v>
      </c>
    </row>
    <row r="737" spans="1:5" ht="12.75">
      <c r="A737">
        <v>80004</v>
      </c>
      <c r="B737">
        <v>80</v>
      </c>
      <c r="C737" t="s">
        <v>81</v>
      </c>
      <c r="D737">
        <v>4</v>
      </c>
      <c r="E737">
        <v>2129</v>
      </c>
    </row>
    <row r="738" spans="1:5" ht="12.75">
      <c r="A738">
        <v>80005</v>
      </c>
      <c r="B738">
        <v>80</v>
      </c>
      <c r="C738" t="s">
        <v>81</v>
      </c>
      <c r="D738">
        <v>5</v>
      </c>
      <c r="E738">
        <v>2203</v>
      </c>
    </row>
    <row r="739" spans="1:5" ht="12.75">
      <c r="A739">
        <v>80006</v>
      </c>
      <c r="B739">
        <v>80</v>
      </c>
      <c r="C739" t="s">
        <v>81</v>
      </c>
      <c r="D739">
        <v>6</v>
      </c>
      <c r="E739">
        <v>2129</v>
      </c>
    </row>
    <row r="740" spans="1:5" ht="12.75">
      <c r="A740">
        <v>80007</v>
      </c>
      <c r="B740">
        <v>80</v>
      </c>
      <c r="C740" t="s">
        <v>81</v>
      </c>
      <c r="D740">
        <v>7</v>
      </c>
      <c r="E740">
        <v>1909</v>
      </c>
    </row>
    <row r="741" spans="1:5" ht="12.75">
      <c r="A741">
        <v>80008</v>
      </c>
      <c r="B741">
        <v>80</v>
      </c>
      <c r="C741" t="s">
        <v>81</v>
      </c>
      <c r="D741">
        <v>8</v>
      </c>
      <c r="E741">
        <v>2056</v>
      </c>
    </row>
    <row r="742" spans="1:5" ht="12.75">
      <c r="A742">
        <v>80009</v>
      </c>
      <c r="B742">
        <v>80</v>
      </c>
      <c r="C742" t="s">
        <v>81</v>
      </c>
      <c r="D742">
        <v>9</v>
      </c>
      <c r="E742">
        <v>2129</v>
      </c>
    </row>
    <row r="743" spans="1:5" ht="12.75">
      <c r="A743">
        <v>80010</v>
      </c>
      <c r="B743">
        <v>80</v>
      </c>
      <c r="C743" t="s">
        <v>81</v>
      </c>
      <c r="D743">
        <v>10</v>
      </c>
      <c r="E743">
        <v>2056</v>
      </c>
    </row>
    <row r="744" spans="1:5" ht="12.75">
      <c r="A744">
        <v>80011</v>
      </c>
      <c r="B744">
        <v>80</v>
      </c>
      <c r="C744" t="s">
        <v>81</v>
      </c>
      <c r="D744">
        <v>11</v>
      </c>
      <c r="E744">
        <v>2129</v>
      </c>
    </row>
    <row r="745" spans="1:5" ht="12.75">
      <c r="A745">
        <v>80012</v>
      </c>
      <c r="B745">
        <v>80</v>
      </c>
      <c r="C745" t="s">
        <v>81</v>
      </c>
      <c r="D745">
        <v>12</v>
      </c>
      <c r="E745">
        <v>2129</v>
      </c>
    </row>
    <row r="746" spans="1:5" ht="12.75">
      <c r="A746">
        <v>80013</v>
      </c>
      <c r="B746">
        <v>80</v>
      </c>
      <c r="C746" t="s">
        <v>81</v>
      </c>
      <c r="D746">
        <v>13</v>
      </c>
      <c r="E746">
        <v>2056</v>
      </c>
    </row>
    <row r="747" spans="1:5" ht="12.75">
      <c r="A747">
        <v>80014</v>
      </c>
      <c r="B747">
        <v>80</v>
      </c>
      <c r="C747" t="s">
        <v>81</v>
      </c>
      <c r="D747">
        <v>14</v>
      </c>
      <c r="E747">
        <v>2129</v>
      </c>
    </row>
    <row r="748" spans="1:5" ht="12.75">
      <c r="A748">
        <v>80015</v>
      </c>
      <c r="B748">
        <v>80</v>
      </c>
      <c r="C748" t="s">
        <v>81</v>
      </c>
      <c r="D748">
        <v>15</v>
      </c>
      <c r="E748">
        <v>2129</v>
      </c>
    </row>
    <row r="749" spans="1:5" ht="12.75">
      <c r="A749">
        <v>80016</v>
      </c>
      <c r="B749">
        <v>80</v>
      </c>
      <c r="C749" t="s">
        <v>81</v>
      </c>
      <c r="D749">
        <v>16</v>
      </c>
      <c r="E749">
        <v>2129</v>
      </c>
    </row>
    <row r="750" spans="1:5" ht="12.75">
      <c r="A750">
        <v>80017</v>
      </c>
      <c r="B750">
        <v>80</v>
      </c>
      <c r="C750" t="s">
        <v>81</v>
      </c>
      <c r="D750">
        <v>17</v>
      </c>
      <c r="E750">
        <v>2056</v>
      </c>
    </row>
    <row r="751" spans="1:5" ht="12.75">
      <c r="A751">
        <v>80018</v>
      </c>
      <c r="B751">
        <v>80</v>
      </c>
      <c r="C751" t="s">
        <v>81</v>
      </c>
      <c r="D751">
        <v>18</v>
      </c>
      <c r="E751">
        <v>2129</v>
      </c>
    </row>
    <row r="752" spans="1:5" ht="12.75">
      <c r="A752">
        <v>80019</v>
      </c>
      <c r="B752">
        <v>80</v>
      </c>
      <c r="C752" t="s">
        <v>81</v>
      </c>
      <c r="D752">
        <v>19</v>
      </c>
      <c r="E752">
        <v>2056</v>
      </c>
    </row>
    <row r="753" spans="1:5" ht="12.75">
      <c r="A753">
        <v>81001</v>
      </c>
      <c r="B753">
        <v>81</v>
      </c>
      <c r="C753" t="s">
        <v>82</v>
      </c>
      <c r="D753">
        <v>1</v>
      </c>
      <c r="E753">
        <v>1694</v>
      </c>
    </row>
    <row r="754" spans="1:5" ht="12.75">
      <c r="A754">
        <v>81002</v>
      </c>
      <c r="B754">
        <v>81</v>
      </c>
      <c r="C754" t="s">
        <v>82</v>
      </c>
      <c r="D754">
        <v>2</v>
      </c>
      <c r="E754">
        <v>1694</v>
      </c>
    </row>
    <row r="755" spans="1:5" ht="12.75">
      <c r="A755">
        <v>81003</v>
      </c>
      <c r="B755">
        <v>81</v>
      </c>
      <c r="C755" t="s">
        <v>82</v>
      </c>
      <c r="D755">
        <v>3</v>
      </c>
      <c r="E755">
        <v>1694</v>
      </c>
    </row>
    <row r="756" spans="1:5" ht="12.75">
      <c r="A756">
        <v>81004</v>
      </c>
      <c r="B756">
        <v>81</v>
      </c>
      <c r="C756" t="s">
        <v>82</v>
      </c>
      <c r="D756">
        <v>4</v>
      </c>
      <c r="E756">
        <v>1694</v>
      </c>
    </row>
    <row r="757" spans="1:5" ht="12.75">
      <c r="A757">
        <v>81005</v>
      </c>
      <c r="B757">
        <v>81</v>
      </c>
      <c r="C757" t="s">
        <v>82</v>
      </c>
      <c r="D757">
        <v>5</v>
      </c>
      <c r="E757">
        <v>1694</v>
      </c>
    </row>
    <row r="758" spans="1:5" ht="12.75">
      <c r="A758">
        <v>82001</v>
      </c>
      <c r="B758">
        <v>82</v>
      </c>
      <c r="C758" t="s">
        <v>83</v>
      </c>
      <c r="D758">
        <v>1</v>
      </c>
      <c r="E758">
        <v>4586</v>
      </c>
    </row>
    <row r="759" spans="1:5" ht="12.75">
      <c r="A759">
        <v>82002</v>
      </c>
      <c r="B759">
        <v>82</v>
      </c>
      <c r="C759" t="s">
        <v>83</v>
      </c>
      <c r="D759">
        <v>2</v>
      </c>
      <c r="E759">
        <v>4586</v>
      </c>
    </row>
    <row r="760" spans="1:5" ht="12.75">
      <c r="A760">
        <v>82003</v>
      </c>
      <c r="B760">
        <v>82</v>
      </c>
      <c r="C760" t="s">
        <v>83</v>
      </c>
      <c r="D760">
        <v>3</v>
      </c>
      <c r="E760">
        <v>4586</v>
      </c>
    </row>
    <row r="761" spans="1:5" ht="12.75">
      <c r="A761">
        <v>82004</v>
      </c>
      <c r="B761">
        <v>82</v>
      </c>
      <c r="C761" t="s">
        <v>83</v>
      </c>
      <c r="D761">
        <v>4</v>
      </c>
      <c r="E761">
        <v>4586</v>
      </c>
    </row>
    <row r="762" spans="1:5" ht="12.75">
      <c r="A762">
        <v>82005</v>
      </c>
      <c r="B762">
        <v>82</v>
      </c>
      <c r="C762" t="s">
        <v>83</v>
      </c>
      <c r="D762">
        <v>5</v>
      </c>
      <c r="E762">
        <v>4586</v>
      </c>
    </row>
    <row r="763" spans="1:5" ht="12.75">
      <c r="A763">
        <v>82006</v>
      </c>
      <c r="B763">
        <v>82</v>
      </c>
      <c r="C763" t="s">
        <v>83</v>
      </c>
      <c r="D763">
        <v>6</v>
      </c>
      <c r="E763">
        <v>4586</v>
      </c>
    </row>
    <row r="764" spans="1:5" ht="12.75">
      <c r="A764">
        <v>82007</v>
      </c>
      <c r="B764">
        <v>82</v>
      </c>
      <c r="C764" t="s">
        <v>83</v>
      </c>
      <c r="D764">
        <v>7</v>
      </c>
      <c r="E764">
        <v>4686</v>
      </c>
    </row>
    <row r="765" spans="1:5" ht="12.75">
      <c r="A765">
        <v>82008</v>
      </c>
      <c r="B765">
        <v>82</v>
      </c>
      <c r="C765" t="s">
        <v>83</v>
      </c>
      <c r="D765">
        <v>8</v>
      </c>
      <c r="E765">
        <v>4586</v>
      </c>
    </row>
    <row r="766" spans="1:5" ht="12.75">
      <c r="A766">
        <v>82009</v>
      </c>
      <c r="B766">
        <v>82</v>
      </c>
      <c r="C766" t="s">
        <v>83</v>
      </c>
      <c r="D766">
        <v>9</v>
      </c>
      <c r="E766">
        <v>4586</v>
      </c>
    </row>
    <row r="767" spans="1:5" ht="12.75">
      <c r="A767">
        <v>82010</v>
      </c>
      <c r="B767">
        <v>82</v>
      </c>
      <c r="C767" t="s">
        <v>83</v>
      </c>
      <c r="D767">
        <v>10</v>
      </c>
      <c r="E767">
        <v>4459</v>
      </c>
    </row>
    <row r="768" spans="1:5" ht="12.75">
      <c r="A768">
        <v>82011</v>
      </c>
      <c r="B768">
        <v>82</v>
      </c>
      <c r="C768" t="s">
        <v>83</v>
      </c>
      <c r="D768">
        <v>11</v>
      </c>
      <c r="E768">
        <v>4586</v>
      </c>
    </row>
    <row r="769" spans="1:5" ht="12.75">
      <c r="A769">
        <v>82012</v>
      </c>
      <c r="B769">
        <v>82</v>
      </c>
      <c r="C769" t="s">
        <v>83</v>
      </c>
      <c r="D769">
        <v>12</v>
      </c>
      <c r="E769">
        <v>4586</v>
      </c>
    </row>
    <row r="770" spans="1:5" ht="12.75">
      <c r="A770">
        <v>82013</v>
      </c>
      <c r="B770">
        <v>82</v>
      </c>
      <c r="C770" t="s">
        <v>83</v>
      </c>
      <c r="D770">
        <v>13</v>
      </c>
      <c r="E770">
        <v>4586</v>
      </c>
    </row>
    <row r="771" spans="1:5" ht="12.75">
      <c r="A771">
        <v>82014</v>
      </c>
      <c r="B771">
        <v>82</v>
      </c>
      <c r="C771" t="s">
        <v>83</v>
      </c>
      <c r="D771">
        <v>14</v>
      </c>
      <c r="E771">
        <v>4586</v>
      </c>
    </row>
    <row r="772" spans="1:5" ht="12.75">
      <c r="A772">
        <v>82015</v>
      </c>
      <c r="B772">
        <v>82</v>
      </c>
      <c r="C772" t="s">
        <v>83</v>
      </c>
      <c r="D772">
        <v>15</v>
      </c>
      <c r="E772">
        <v>4586</v>
      </c>
    </row>
    <row r="773" spans="1:5" ht="12.75">
      <c r="A773">
        <v>82016</v>
      </c>
      <c r="B773">
        <v>82</v>
      </c>
      <c r="C773" t="s">
        <v>83</v>
      </c>
      <c r="D773">
        <v>16</v>
      </c>
      <c r="E773">
        <v>4586</v>
      </c>
    </row>
    <row r="774" spans="1:5" ht="12.75">
      <c r="A774">
        <v>82017</v>
      </c>
      <c r="B774">
        <v>82</v>
      </c>
      <c r="C774" t="s">
        <v>83</v>
      </c>
      <c r="D774">
        <v>17</v>
      </c>
      <c r="E774">
        <v>4586</v>
      </c>
    </row>
    <row r="775" spans="1:5" ht="12.75">
      <c r="A775">
        <v>82018</v>
      </c>
      <c r="B775">
        <v>82</v>
      </c>
      <c r="C775" t="s">
        <v>83</v>
      </c>
      <c r="D775">
        <v>18</v>
      </c>
      <c r="E775">
        <v>4459</v>
      </c>
    </row>
    <row r="776" spans="1:5" ht="12.75">
      <c r="A776">
        <v>82019</v>
      </c>
      <c r="B776">
        <v>82</v>
      </c>
      <c r="C776" t="s">
        <v>83</v>
      </c>
      <c r="D776">
        <v>19</v>
      </c>
      <c r="E776">
        <v>4459</v>
      </c>
    </row>
    <row r="777" spans="1:5" ht="12.75">
      <c r="A777">
        <v>82020</v>
      </c>
      <c r="B777">
        <v>82</v>
      </c>
      <c r="C777" t="s">
        <v>83</v>
      </c>
      <c r="D777">
        <v>20</v>
      </c>
      <c r="E777">
        <v>4459</v>
      </c>
    </row>
    <row r="778" spans="1:5" ht="12.75">
      <c r="A778">
        <v>82021</v>
      </c>
      <c r="B778">
        <v>82</v>
      </c>
      <c r="C778" t="s">
        <v>83</v>
      </c>
      <c r="D778">
        <v>21</v>
      </c>
      <c r="E778">
        <v>4586</v>
      </c>
    </row>
    <row r="779" spans="1:5" ht="12.75">
      <c r="A779">
        <v>82022</v>
      </c>
      <c r="B779">
        <v>82</v>
      </c>
      <c r="C779" t="s">
        <v>83</v>
      </c>
      <c r="D779">
        <v>22</v>
      </c>
      <c r="E779">
        <v>4586</v>
      </c>
    </row>
    <row r="780" spans="1:5" ht="12.75">
      <c r="A780">
        <v>82023</v>
      </c>
      <c r="B780">
        <v>82</v>
      </c>
      <c r="C780" t="s">
        <v>83</v>
      </c>
      <c r="D780">
        <v>23</v>
      </c>
      <c r="E780">
        <v>4586</v>
      </c>
    </row>
    <row r="781" spans="1:5" ht="12.75">
      <c r="A781">
        <v>82024</v>
      </c>
      <c r="B781">
        <v>82</v>
      </c>
      <c r="C781" t="s">
        <v>83</v>
      </c>
      <c r="D781">
        <v>24</v>
      </c>
      <c r="E781">
        <v>4586</v>
      </c>
    </row>
    <row r="782" spans="1:5" ht="12.75">
      <c r="A782">
        <v>83002</v>
      </c>
      <c r="B782">
        <v>83</v>
      </c>
      <c r="C782" t="s">
        <v>84</v>
      </c>
      <c r="D782">
        <v>2</v>
      </c>
      <c r="E782">
        <v>1588</v>
      </c>
    </row>
    <row r="783" spans="1:5" ht="12.75">
      <c r="A783">
        <v>83003</v>
      </c>
      <c r="B783">
        <v>83</v>
      </c>
      <c r="C783" t="s">
        <v>84</v>
      </c>
      <c r="D783">
        <v>3</v>
      </c>
      <c r="E783">
        <v>1475</v>
      </c>
    </row>
    <row r="784" spans="1:5" ht="12.75">
      <c r="A784">
        <v>83004</v>
      </c>
      <c r="B784">
        <v>83</v>
      </c>
      <c r="C784" t="s">
        <v>84</v>
      </c>
      <c r="D784">
        <v>4</v>
      </c>
      <c r="E784">
        <v>1475</v>
      </c>
    </row>
    <row r="785" spans="1:5" ht="12.75">
      <c r="A785">
        <v>83005</v>
      </c>
      <c r="B785">
        <v>83</v>
      </c>
      <c r="C785" t="s">
        <v>84</v>
      </c>
      <c r="D785">
        <v>5</v>
      </c>
      <c r="E785">
        <v>1475</v>
      </c>
    </row>
    <row r="786" spans="1:5" ht="12.75">
      <c r="A786">
        <v>83006</v>
      </c>
      <c r="B786">
        <v>83</v>
      </c>
      <c r="C786" t="s">
        <v>84</v>
      </c>
      <c r="D786">
        <v>6</v>
      </c>
      <c r="E786">
        <v>1588</v>
      </c>
    </row>
    <row r="787" spans="1:5" ht="12.75">
      <c r="A787">
        <v>83007</v>
      </c>
      <c r="B787">
        <v>83</v>
      </c>
      <c r="C787" t="s">
        <v>84</v>
      </c>
      <c r="D787">
        <v>7</v>
      </c>
      <c r="E787">
        <v>1475</v>
      </c>
    </row>
    <row r="788" spans="1:5" ht="12.75">
      <c r="A788">
        <v>84001</v>
      </c>
      <c r="B788">
        <v>84</v>
      </c>
      <c r="C788" t="s">
        <v>85</v>
      </c>
      <c r="D788">
        <v>1</v>
      </c>
      <c r="E788">
        <v>4283</v>
      </c>
    </row>
    <row r="789" spans="1:5" ht="12.75">
      <c r="A789">
        <v>84002</v>
      </c>
      <c r="B789">
        <v>84</v>
      </c>
      <c r="C789" t="s">
        <v>85</v>
      </c>
      <c r="D789">
        <v>2</v>
      </c>
      <c r="E789">
        <v>4283</v>
      </c>
    </row>
    <row r="790" spans="1:5" ht="12.75">
      <c r="A790">
        <v>84003</v>
      </c>
      <c r="B790">
        <v>84</v>
      </c>
      <c r="C790" t="s">
        <v>85</v>
      </c>
      <c r="D790">
        <v>3</v>
      </c>
      <c r="E790">
        <v>4283</v>
      </c>
    </row>
    <row r="791" spans="1:5" ht="12.75">
      <c r="A791">
        <v>84004</v>
      </c>
      <c r="B791">
        <v>84</v>
      </c>
      <c r="C791" t="s">
        <v>85</v>
      </c>
      <c r="D791">
        <v>4</v>
      </c>
      <c r="E791">
        <v>4283</v>
      </c>
    </row>
    <row r="792" spans="1:5" ht="12.75">
      <c r="A792">
        <v>84005</v>
      </c>
      <c r="B792">
        <v>84</v>
      </c>
      <c r="C792" t="s">
        <v>85</v>
      </c>
      <c r="D792">
        <v>5</v>
      </c>
      <c r="E792">
        <v>4283</v>
      </c>
    </row>
    <row r="793" spans="1:5" ht="12.75">
      <c r="A793">
        <v>84006</v>
      </c>
      <c r="B793">
        <v>84</v>
      </c>
      <c r="C793" t="s">
        <v>85</v>
      </c>
      <c r="D793">
        <v>6</v>
      </c>
      <c r="E793">
        <v>4283</v>
      </c>
    </row>
    <row r="794" spans="1:5" ht="12.75">
      <c r="A794">
        <v>84007</v>
      </c>
      <c r="B794">
        <v>84</v>
      </c>
      <c r="C794" t="s">
        <v>85</v>
      </c>
      <c r="D794">
        <v>7</v>
      </c>
      <c r="E794">
        <v>4283</v>
      </c>
    </row>
    <row r="795" spans="1:5" ht="12.75">
      <c r="A795">
        <v>84008</v>
      </c>
      <c r="B795">
        <v>84</v>
      </c>
      <c r="C795" t="s">
        <v>85</v>
      </c>
      <c r="D795">
        <v>8</v>
      </c>
      <c r="E795">
        <v>4283</v>
      </c>
    </row>
    <row r="796" spans="1:5" ht="12.75">
      <c r="A796">
        <v>84009</v>
      </c>
      <c r="B796">
        <v>84</v>
      </c>
      <c r="C796" t="s">
        <v>85</v>
      </c>
      <c r="D796">
        <v>9</v>
      </c>
      <c r="E796">
        <v>4283</v>
      </c>
    </row>
    <row r="797" spans="1:5" ht="12.75">
      <c r="A797">
        <v>84010</v>
      </c>
      <c r="B797">
        <v>84</v>
      </c>
      <c r="C797" t="s">
        <v>85</v>
      </c>
      <c r="D797">
        <v>10</v>
      </c>
      <c r="E797">
        <v>4283</v>
      </c>
    </row>
    <row r="798" spans="1:5" ht="12.75">
      <c r="A798">
        <v>84011</v>
      </c>
      <c r="B798">
        <v>84</v>
      </c>
      <c r="C798" t="s">
        <v>85</v>
      </c>
      <c r="D798">
        <v>11</v>
      </c>
      <c r="E798">
        <v>4283</v>
      </c>
    </row>
    <row r="799" spans="1:5" ht="12.75">
      <c r="A799">
        <v>85001</v>
      </c>
      <c r="B799">
        <v>85</v>
      </c>
      <c r="C799" t="s">
        <v>86</v>
      </c>
      <c r="D799">
        <v>1</v>
      </c>
      <c r="E799">
        <v>1001</v>
      </c>
    </row>
    <row r="800" spans="1:5" ht="12.75">
      <c r="A800">
        <v>85002</v>
      </c>
      <c r="B800">
        <v>85</v>
      </c>
      <c r="C800" t="s">
        <v>86</v>
      </c>
      <c r="D800">
        <v>2</v>
      </c>
      <c r="E800">
        <v>1001</v>
      </c>
    </row>
    <row r="801" spans="1:5" ht="12.75">
      <c r="A801">
        <v>85003</v>
      </c>
      <c r="B801">
        <v>85</v>
      </c>
      <c r="C801" t="s">
        <v>86</v>
      </c>
      <c r="D801">
        <v>3</v>
      </c>
      <c r="E801">
        <v>1001</v>
      </c>
    </row>
    <row r="802" spans="1:5" ht="12.75">
      <c r="A802">
        <v>85004</v>
      </c>
      <c r="B802">
        <v>85</v>
      </c>
      <c r="C802" t="s">
        <v>86</v>
      </c>
      <c r="D802">
        <v>4</v>
      </c>
      <c r="E802">
        <v>910</v>
      </c>
    </row>
    <row r="803" spans="1:5" ht="12.75">
      <c r="A803">
        <v>85005</v>
      </c>
      <c r="B803">
        <v>85</v>
      </c>
      <c r="C803" t="s">
        <v>86</v>
      </c>
      <c r="D803">
        <v>5</v>
      </c>
      <c r="E803">
        <v>880</v>
      </c>
    </row>
    <row r="804" spans="1:5" ht="12.75">
      <c r="A804">
        <v>85006</v>
      </c>
      <c r="B804">
        <v>85</v>
      </c>
      <c r="C804" t="s">
        <v>86</v>
      </c>
      <c r="D804">
        <v>6</v>
      </c>
      <c r="E804">
        <v>910</v>
      </c>
    </row>
    <row r="805" spans="1:5" ht="12.75">
      <c r="A805">
        <v>85007</v>
      </c>
      <c r="B805">
        <v>85</v>
      </c>
      <c r="C805" t="s">
        <v>86</v>
      </c>
      <c r="D805">
        <v>7</v>
      </c>
      <c r="E805">
        <v>880</v>
      </c>
    </row>
    <row r="806" spans="1:5" ht="12.75">
      <c r="A806">
        <v>85008</v>
      </c>
      <c r="B806">
        <v>85</v>
      </c>
      <c r="C806" t="s">
        <v>86</v>
      </c>
      <c r="D806">
        <v>8</v>
      </c>
      <c r="E806">
        <v>880</v>
      </c>
    </row>
    <row r="807" spans="1:5" ht="12.75">
      <c r="A807">
        <v>85009</v>
      </c>
      <c r="B807">
        <v>85</v>
      </c>
      <c r="C807" t="s">
        <v>86</v>
      </c>
      <c r="D807">
        <v>9</v>
      </c>
      <c r="E807">
        <v>667</v>
      </c>
    </row>
    <row r="808" spans="1:5" ht="12.75">
      <c r="A808">
        <v>85010</v>
      </c>
      <c r="B808">
        <v>85</v>
      </c>
      <c r="C808" t="s">
        <v>86</v>
      </c>
      <c r="D808">
        <v>10</v>
      </c>
      <c r="E808">
        <v>667</v>
      </c>
    </row>
    <row r="809" spans="1:5" ht="12.75">
      <c r="A809">
        <v>85011</v>
      </c>
      <c r="B809">
        <v>85</v>
      </c>
      <c r="C809" t="s">
        <v>86</v>
      </c>
      <c r="D809">
        <v>11</v>
      </c>
      <c r="E809">
        <v>880</v>
      </c>
    </row>
    <row r="810" spans="1:5" ht="12.75">
      <c r="A810">
        <v>85012</v>
      </c>
      <c r="B810">
        <v>85</v>
      </c>
      <c r="C810" t="s">
        <v>86</v>
      </c>
      <c r="D810">
        <v>12</v>
      </c>
      <c r="E810">
        <v>1001</v>
      </c>
    </row>
    <row r="811" spans="1:5" ht="12.75">
      <c r="A811">
        <v>86001</v>
      </c>
      <c r="B811">
        <v>86</v>
      </c>
      <c r="C811" t="s">
        <v>87</v>
      </c>
      <c r="D811">
        <v>1</v>
      </c>
      <c r="E811">
        <v>10977</v>
      </c>
    </row>
    <row r="812" spans="1:5" ht="12.75">
      <c r="A812">
        <v>86002</v>
      </c>
      <c r="B812">
        <v>86</v>
      </c>
      <c r="C812" t="s">
        <v>87</v>
      </c>
      <c r="D812">
        <v>2</v>
      </c>
      <c r="E812">
        <v>10611</v>
      </c>
    </row>
    <row r="813" spans="1:5" ht="12.75">
      <c r="A813">
        <v>86003</v>
      </c>
      <c r="B813">
        <v>86</v>
      </c>
      <c r="C813" t="s">
        <v>87</v>
      </c>
      <c r="D813">
        <v>3</v>
      </c>
      <c r="E813">
        <v>10977</v>
      </c>
    </row>
    <row r="814" spans="1:5" ht="12.75">
      <c r="A814">
        <v>86004</v>
      </c>
      <c r="B814">
        <v>86</v>
      </c>
      <c r="C814" t="s">
        <v>87</v>
      </c>
      <c r="D814">
        <v>4</v>
      </c>
      <c r="E814">
        <v>10977</v>
      </c>
    </row>
    <row r="815" spans="1:5" ht="12.75">
      <c r="A815">
        <v>86005</v>
      </c>
      <c r="B815">
        <v>86</v>
      </c>
      <c r="C815" t="s">
        <v>87</v>
      </c>
      <c r="D815">
        <v>5</v>
      </c>
      <c r="E815">
        <v>10977</v>
      </c>
    </row>
    <row r="816" spans="1:5" ht="12.75">
      <c r="A816">
        <v>86006</v>
      </c>
      <c r="B816">
        <v>86</v>
      </c>
      <c r="C816" t="s">
        <v>87</v>
      </c>
      <c r="D816">
        <v>6</v>
      </c>
      <c r="E816">
        <v>10611</v>
      </c>
    </row>
    <row r="817" spans="1:5" ht="12.75">
      <c r="A817">
        <v>86007</v>
      </c>
      <c r="B817">
        <v>86</v>
      </c>
      <c r="C817" t="s">
        <v>87</v>
      </c>
      <c r="D817">
        <v>7</v>
      </c>
      <c r="E817">
        <v>10611</v>
      </c>
    </row>
    <row r="818" spans="1:5" ht="12.75">
      <c r="A818">
        <v>86008</v>
      </c>
      <c r="B818">
        <v>86</v>
      </c>
      <c r="C818" t="s">
        <v>87</v>
      </c>
      <c r="D818">
        <v>8</v>
      </c>
      <c r="E818">
        <v>10977</v>
      </c>
    </row>
    <row r="819" spans="1:5" ht="12.75">
      <c r="A819">
        <v>87002</v>
      </c>
      <c r="B819">
        <v>87</v>
      </c>
      <c r="C819" t="s">
        <v>88</v>
      </c>
      <c r="D819">
        <v>2</v>
      </c>
      <c r="E819">
        <v>3857</v>
      </c>
    </row>
    <row r="820" spans="1:5" ht="12.75">
      <c r="A820">
        <v>87004</v>
      </c>
      <c r="B820">
        <v>87</v>
      </c>
      <c r="C820" t="s">
        <v>88</v>
      </c>
      <c r="D820">
        <v>4</v>
      </c>
      <c r="E820">
        <v>3857</v>
      </c>
    </row>
    <row r="821" spans="1:5" ht="12.75">
      <c r="A821">
        <v>87005</v>
      </c>
      <c r="B821">
        <v>87</v>
      </c>
      <c r="C821" t="s">
        <v>88</v>
      </c>
      <c r="D821">
        <v>5</v>
      </c>
      <c r="E821">
        <v>3857</v>
      </c>
    </row>
    <row r="822" spans="1:5" ht="12.75">
      <c r="A822">
        <v>87006</v>
      </c>
      <c r="B822">
        <v>87</v>
      </c>
      <c r="C822" t="s">
        <v>88</v>
      </c>
      <c r="D822">
        <v>6</v>
      </c>
      <c r="E822">
        <v>3857</v>
      </c>
    </row>
    <row r="823" spans="1:5" ht="12.75">
      <c r="A823">
        <v>87007</v>
      </c>
      <c r="B823">
        <v>87</v>
      </c>
      <c r="C823" t="s">
        <v>88</v>
      </c>
      <c r="D823">
        <v>7</v>
      </c>
      <c r="E823">
        <v>3857</v>
      </c>
    </row>
    <row r="824" spans="1:5" ht="12.75">
      <c r="A824">
        <v>87008</v>
      </c>
      <c r="B824">
        <v>87</v>
      </c>
      <c r="C824" t="s">
        <v>88</v>
      </c>
      <c r="D824">
        <v>8</v>
      </c>
      <c r="E824">
        <v>3857</v>
      </c>
    </row>
    <row r="825" spans="1:5" ht="12.75">
      <c r="A825">
        <v>87009</v>
      </c>
      <c r="B825">
        <v>87</v>
      </c>
      <c r="C825" t="s">
        <v>88</v>
      </c>
      <c r="D825">
        <v>9</v>
      </c>
      <c r="E825">
        <v>3857</v>
      </c>
    </row>
    <row r="826" spans="1:5" ht="12.75">
      <c r="A826">
        <v>87010</v>
      </c>
      <c r="B826">
        <v>87</v>
      </c>
      <c r="C826" t="s">
        <v>88</v>
      </c>
      <c r="D826">
        <v>10</v>
      </c>
      <c r="E826">
        <v>3857</v>
      </c>
    </row>
    <row r="827" spans="1:5" ht="12.75">
      <c r="A827">
        <v>87011</v>
      </c>
      <c r="B827">
        <v>87</v>
      </c>
      <c r="C827" t="s">
        <v>88</v>
      </c>
      <c r="D827">
        <v>11</v>
      </c>
      <c r="E827">
        <v>3857</v>
      </c>
    </row>
    <row r="828" spans="1:5" ht="12.75">
      <c r="A828">
        <v>87012</v>
      </c>
      <c r="B828">
        <v>87</v>
      </c>
      <c r="C828" t="s">
        <v>88</v>
      </c>
      <c r="D828">
        <v>12</v>
      </c>
      <c r="E828">
        <v>3857</v>
      </c>
    </row>
    <row r="829" spans="1:5" ht="12.75">
      <c r="A829">
        <v>87013</v>
      </c>
      <c r="B829">
        <v>87</v>
      </c>
      <c r="C829" t="s">
        <v>88</v>
      </c>
      <c r="D829">
        <v>13</v>
      </c>
      <c r="E829">
        <v>3857</v>
      </c>
    </row>
    <row r="830" spans="1:5" ht="12.75">
      <c r="A830">
        <v>88001</v>
      </c>
      <c r="B830">
        <v>88</v>
      </c>
      <c r="C830" t="s">
        <v>89</v>
      </c>
      <c r="D830">
        <v>1</v>
      </c>
      <c r="E830">
        <v>1524</v>
      </c>
    </row>
    <row r="831" spans="1:5" ht="12.75">
      <c r="A831">
        <v>88002</v>
      </c>
      <c r="B831">
        <v>88</v>
      </c>
      <c r="C831" t="s">
        <v>89</v>
      </c>
      <c r="D831">
        <v>2</v>
      </c>
      <c r="E831">
        <v>1524</v>
      </c>
    </row>
    <row r="832" spans="1:5" ht="12.75">
      <c r="A832">
        <v>88003</v>
      </c>
      <c r="B832">
        <v>88</v>
      </c>
      <c r="C832" t="s">
        <v>89</v>
      </c>
      <c r="D832">
        <v>3</v>
      </c>
      <c r="E832">
        <v>1524</v>
      </c>
    </row>
    <row r="833" spans="1:5" ht="12.75">
      <c r="A833">
        <v>88004</v>
      </c>
      <c r="B833">
        <v>88</v>
      </c>
      <c r="C833" t="s">
        <v>89</v>
      </c>
      <c r="D833">
        <v>4</v>
      </c>
      <c r="E833">
        <v>1422</v>
      </c>
    </row>
    <row r="834" spans="1:5" ht="12.75">
      <c r="A834">
        <v>88005</v>
      </c>
      <c r="B834">
        <v>88</v>
      </c>
      <c r="C834" t="s">
        <v>89</v>
      </c>
      <c r="D834">
        <v>5</v>
      </c>
      <c r="E834">
        <v>1422</v>
      </c>
    </row>
    <row r="835" spans="1:5" ht="12.75">
      <c r="A835">
        <v>88006</v>
      </c>
      <c r="B835">
        <v>88</v>
      </c>
      <c r="C835" t="s">
        <v>89</v>
      </c>
      <c r="D835">
        <v>6</v>
      </c>
      <c r="E835">
        <v>1422</v>
      </c>
    </row>
    <row r="836" spans="1:5" ht="12.75">
      <c r="A836">
        <v>88007</v>
      </c>
      <c r="B836">
        <v>88</v>
      </c>
      <c r="C836" t="s">
        <v>89</v>
      </c>
      <c r="D836">
        <v>7</v>
      </c>
      <c r="E836">
        <v>1422</v>
      </c>
    </row>
    <row r="837" spans="1:5" ht="12.75">
      <c r="A837">
        <v>88008</v>
      </c>
      <c r="B837">
        <v>88</v>
      </c>
      <c r="C837" t="s">
        <v>89</v>
      </c>
      <c r="D837">
        <v>8</v>
      </c>
      <c r="E837">
        <v>1422</v>
      </c>
    </row>
    <row r="838" spans="1:5" ht="12.75">
      <c r="A838">
        <v>88009</v>
      </c>
      <c r="B838">
        <v>88</v>
      </c>
      <c r="C838" t="s">
        <v>89</v>
      </c>
      <c r="D838">
        <v>9</v>
      </c>
      <c r="E838">
        <v>1422</v>
      </c>
    </row>
    <row r="839" spans="1:5" ht="12.75">
      <c r="A839">
        <v>88010</v>
      </c>
      <c r="B839">
        <v>88</v>
      </c>
      <c r="C839" t="s">
        <v>89</v>
      </c>
      <c r="D839">
        <v>10</v>
      </c>
      <c r="E839">
        <v>1473</v>
      </c>
    </row>
    <row r="840" spans="1:5" ht="12.75">
      <c r="A840">
        <v>88011</v>
      </c>
      <c r="B840">
        <v>88</v>
      </c>
      <c r="C840" t="s">
        <v>89</v>
      </c>
      <c r="D840">
        <v>11</v>
      </c>
      <c r="E840">
        <v>1473</v>
      </c>
    </row>
    <row r="841" spans="1:5" ht="12.75">
      <c r="A841">
        <v>88012</v>
      </c>
      <c r="B841">
        <v>88</v>
      </c>
      <c r="C841" t="s">
        <v>89</v>
      </c>
      <c r="D841">
        <v>12</v>
      </c>
      <c r="E841">
        <v>1524</v>
      </c>
    </row>
    <row r="842" spans="1:5" ht="12.75">
      <c r="A842">
        <v>88013</v>
      </c>
      <c r="B842">
        <v>88</v>
      </c>
      <c r="C842" t="s">
        <v>89</v>
      </c>
      <c r="D842">
        <v>13</v>
      </c>
      <c r="E842">
        <v>1524</v>
      </c>
    </row>
    <row r="843" spans="1:5" ht="12.75">
      <c r="A843">
        <v>88014</v>
      </c>
      <c r="B843">
        <v>88</v>
      </c>
      <c r="C843" t="s">
        <v>89</v>
      </c>
      <c r="D843">
        <v>14</v>
      </c>
      <c r="E843">
        <v>1524</v>
      </c>
    </row>
    <row r="844" spans="1:5" ht="12.75">
      <c r="A844">
        <v>89001</v>
      </c>
      <c r="B844">
        <v>89</v>
      </c>
      <c r="C844" t="s">
        <v>90</v>
      </c>
      <c r="D844">
        <v>1</v>
      </c>
      <c r="E844">
        <v>1834</v>
      </c>
    </row>
    <row r="845" spans="1:5" ht="12.75">
      <c r="A845">
        <v>89002</v>
      </c>
      <c r="B845">
        <v>89</v>
      </c>
      <c r="C845" t="s">
        <v>90</v>
      </c>
      <c r="D845">
        <v>2</v>
      </c>
      <c r="E845">
        <v>1834</v>
      </c>
    </row>
    <row r="846" spans="1:5" ht="12.75">
      <c r="A846">
        <v>89003</v>
      </c>
      <c r="B846">
        <v>89</v>
      </c>
      <c r="C846" t="s">
        <v>90</v>
      </c>
      <c r="D846">
        <v>3</v>
      </c>
      <c r="E846">
        <v>2079</v>
      </c>
    </row>
    <row r="847" spans="1:5" ht="12.75">
      <c r="A847">
        <v>89004</v>
      </c>
      <c r="B847">
        <v>89</v>
      </c>
      <c r="C847" t="s">
        <v>90</v>
      </c>
      <c r="D847">
        <v>4</v>
      </c>
      <c r="E847">
        <v>1712</v>
      </c>
    </row>
    <row r="848" spans="1:5" ht="12.75">
      <c r="A848">
        <v>89005</v>
      </c>
      <c r="B848">
        <v>89</v>
      </c>
      <c r="C848" t="s">
        <v>90</v>
      </c>
      <c r="D848">
        <v>5</v>
      </c>
      <c r="E848">
        <v>1712</v>
      </c>
    </row>
    <row r="849" spans="1:5" ht="12.75">
      <c r="A849">
        <v>89006</v>
      </c>
      <c r="B849">
        <v>89</v>
      </c>
      <c r="C849" t="s">
        <v>90</v>
      </c>
      <c r="D849">
        <v>6</v>
      </c>
      <c r="E849">
        <v>1712</v>
      </c>
    </row>
    <row r="850" spans="1:5" ht="12.75">
      <c r="A850">
        <v>89007</v>
      </c>
      <c r="B850">
        <v>89</v>
      </c>
      <c r="C850" t="s">
        <v>90</v>
      </c>
      <c r="D850">
        <v>7</v>
      </c>
      <c r="E850">
        <v>1834</v>
      </c>
    </row>
    <row r="851" spans="1:5" ht="12.75">
      <c r="A851">
        <v>89008</v>
      </c>
      <c r="B851">
        <v>89</v>
      </c>
      <c r="C851" t="s">
        <v>90</v>
      </c>
      <c r="D851">
        <v>8</v>
      </c>
      <c r="E851">
        <v>1834</v>
      </c>
    </row>
    <row r="852" spans="1:5" ht="12.75">
      <c r="A852">
        <v>89009</v>
      </c>
      <c r="B852">
        <v>89</v>
      </c>
      <c r="C852" t="s">
        <v>90</v>
      </c>
      <c r="D852">
        <v>9</v>
      </c>
      <c r="E852">
        <v>1773</v>
      </c>
    </row>
    <row r="853" spans="1:5" ht="12.75">
      <c r="A853">
        <v>89010</v>
      </c>
      <c r="B853">
        <v>89</v>
      </c>
      <c r="C853" t="s">
        <v>90</v>
      </c>
      <c r="D853">
        <v>10</v>
      </c>
      <c r="E853">
        <v>1834</v>
      </c>
    </row>
    <row r="854" spans="1:4" ht="12.75">
      <c r="A854">
        <v>89011</v>
      </c>
      <c r="B854">
        <v>89</v>
      </c>
      <c r="C854" t="s">
        <v>90</v>
      </c>
      <c r="D854">
        <v>11</v>
      </c>
    </row>
    <row r="855" spans="1:5" ht="12.75">
      <c r="A855">
        <v>89012</v>
      </c>
      <c r="B855">
        <v>89</v>
      </c>
      <c r="C855" t="s">
        <v>90</v>
      </c>
      <c r="D855">
        <v>12</v>
      </c>
      <c r="E855">
        <v>1712</v>
      </c>
    </row>
    <row r="856" spans="1:5" ht="12.75">
      <c r="A856">
        <v>90002</v>
      </c>
      <c r="B856">
        <v>90</v>
      </c>
      <c r="C856" t="s">
        <v>91</v>
      </c>
      <c r="D856">
        <v>2</v>
      </c>
      <c r="E856">
        <v>4289</v>
      </c>
    </row>
    <row r="857" spans="1:5" ht="12.75">
      <c r="A857">
        <v>90003</v>
      </c>
      <c r="B857">
        <v>90</v>
      </c>
      <c r="C857" t="s">
        <v>91</v>
      </c>
      <c r="D857">
        <v>3</v>
      </c>
      <c r="E857">
        <v>4289</v>
      </c>
    </row>
    <row r="858" spans="1:5" ht="12.75">
      <c r="A858">
        <v>90004</v>
      </c>
      <c r="B858">
        <v>90</v>
      </c>
      <c r="C858" t="s">
        <v>91</v>
      </c>
      <c r="D858">
        <v>4</v>
      </c>
      <c r="E858">
        <v>4289</v>
      </c>
    </row>
    <row r="859" spans="1:5" ht="12.75">
      <c r="A859">
        <v>90005</v>
      </c>
      <c r="B859">
        <v>90</v>
      </c>
      <c r="C859" t="s">
        <v>91</v>
      </c>
      <c r="D859">
        <v>5</v>
      </c>
      <c r="E859">
        <v>4289</v>
      </c>
    </row>
    <row r="860" spans="1:5" ht="12.75">
      <c r="A860">
        <v>90006</v>
      </c>
      <c r="B860">
        <v>90</v>
      </c>
      <c r="C860" t="s">
        <v>91</v>
      </c>
      <c r="D860">
        <v>6</v>
      </c>
      <c r="E860">
        <v>4289</v>
      </c>
    </row>
    <row r="861" spans="1:5" ht="12.75">
      <c r="A861">
        <v>90007</v>
      </c>
      <c r="B861">
        <v>90</v>
      </c>
      <c r="C861" t="s">
        <v>91</v>
      </c>
      <c r="D861">
        <v>7</v>
      </c>
      <c r="E861">
        <v>4289</v>
      </c>
    </row>
    <row r="862" spans="1:5" ht="12.75">
      <c r="A862">
        <v>90008</v>
      </c>
      <c r="B862">
        <v>90</v>
      </c>
      <c r="C862" t="s">
        <v>91</v>
      </c>
      <c r="D862">
        <v>8</v>
      </c>
      <c r="E862">
        <v>4289</v>
      </c>
    </row>
    <row r="863" spans="1:5" ht="12.75">
      <c r="A863">
        <v>90009</v>
      </c>
      <c r="B863">
        <v>90</v>
      </c>
      <c r="C863" t="s">
        <v>91</v>
      </c>
      <c r="D863">
        <v>9</v>
      </c>
      <c r="E863">
        <v>4289</v>
      </c>
    </row>
    <row r="864" spans="1:5" ht="12.75">
      <c r="A864">
        <v>90010</v>
      </c>
      <c r="B864">
        <v>90</v>
      </c>
      <c r="C864" t="s">
        <v>91</v>
      </c>
      <c r="D864">
        <v>10</v>
      </c>
      <c r="E864">
        <v>4289</v>
      </c>
    </row>
    <row r="865" spans="1:5" ht="12.75">
      <c r="A865">
        <v>90011</v>
      </c>
      <c r="B865">
        <v>90</v>
      </c>
      <c r="C865" t="s">
        <v>91</v>
      </c>
      <c r="D865">
        <v>11</v>
      </c>
      <c r="E865">
        <v>4289</v>
      </c>
    </row>
    <row r="866" spans="1:5" ht="12.75">
      <c r="A866">
        <v>90012</v>
      </c>
      <c r="B866">
        <v>90</v>
      </c>
      <c r="C866" t="s">
        <v>91</v>
      </c>
      <c r="D866">
        <v>12</v>
      </c>
      <c r="E866">
        <v>4289</v>
      </c>
    </row>
    <row r="867" spans="1:5" ht="12.75">
      <c r="A867">
        <v>90013</v>
      </c>
      <c r="B867">
        <v>90</v>
      </c>
      <c r="C867" t="s">
        <v>91</v>
      </c>
      <c r="D867">
        <v>13</v>
      </c>
      <c r="E867">
        <v>4289</v>
      </c>
    </row>
    <row r="868" spans="1:5" ht="12.75">
      <c r="A868">
        <v>91001</v>
      </c>
      <c r="B868">
        <v>91</v>
      </c>
      <c r="C868" t="s">
        <v>92</v>
      </c>
      <c r="D868">
        <v>1</v>
      </c>
      <c r="E868">
        <v>2219</v>
      </c>
    </row>
    <row r="869" spans="1:5" ht="12.75">
      <c r="A869">
        <v>91002</v>
      </c>
      <c r="B869">
        <v>91</v>
      </c>
      <c r="C869" t="s">
        <v>92</v>
      </c>
      <c r="D869">
        <v>2</v>
      </c>
      <c r="E869">
        <v>2219</v>
      </c>
    </row>
    <row r="870" spans="1:5" ht="12.75">
      <c r="A870">
        <v>91003</v>
      </c>
      <c r="B870">
        <v>91</v>
      </c>
      <c r="C870" t="s">
        <v>92</v>
      </c>
      <c r="D870">
        <v>3</v>
      </c>
      <c r="E870">
        <v>2219</v>
      </c>
    </row>
    <row r="871" spans="1:5" ht="12.75">
      <c r="A871">
        <v>91004</v>
      </c>
      <c r="B871">
        <v>91</v>
      </c>
      <c r="C871" t="s">
        <v>92</v>
      </c>
      <c r="D871">
        <v>4</v>
      </c>
      <c r="E871">
        <v>1923</v>
      </c>
    </row>
    <row r="872" spans="1:5" ht="12.75">
      <c r="A872">
        <v>91005</v>
      </c>
      <c r="B872">
        <v>91</v>
      </c>
      <c r="C872" t="s">
        <v>92</v>
      </c>
      <c r="D872">
        <v>5</v>
      </c>
      <c r="E872">
        <v>2145</v>
      </c>
    </row>
    <row r="873" spans="1:5" ht="12.75">
      <c r="A873">
        <v>91006</v>
      </c>
      <c r="B873">
        <v>91</v>
      </c>
      <c r="C873" t="s">
        <v>92</v>
      </c>
      <c r="D873">
        <v>6</v>
      </c>
      <c r="E873">
        <v>2219</v>
      </c>
    </row>
    <row r="874" spans="1:5" ht="12.75">
      <c r="A874">
        <v>91007</v>
      </c>
      <c r="B874">
        <v>91</v>
      </c>
      <c r="C874" t="s">
        <v>92</v>
      </c>
      <c r="D874">
        <v>7</v>
      </c>
      <c r="E874">
        <v>2145</v>
      </c>
    </row>
    <row r="875" spans="1:5" ht="12.75">
      <c r="A875">
        <v>91008</v>
      </c>
      <c r="B875">
        <v>91</v>
      </c>
      <c r="C875" t="s">
        <v>92</v>
      </c>
      <c r="D875">
        <v>8</v>
      </c>
      <c r="E875">
        <v>1923</v>
      </c>
    </row>
    <row r="876" spans="1:5" ht="12.75">
      <c r="A876">
        <v>92001</v>
      </c>
      <c r="B876">
        <v>92</v>
      </c>
      <c r="C876" t="s">
        <v>93</v>
      </c>
      <c r="D876">
        <v>1</v>
      </c>
      <c r="E876">
        <v>1366</v>
      </c>
    </row>
    <row r="877" spans="1:5" ht="12.75">
      <c r="A877">
        <v>92002</v>
      </c>
      <c r="B877">
        <v>92</v>
      </c>
      <c r="C877" t="s">
        <v>93</v>
      </c>
      <c r="D877">
        <v>2</v>
      </c>
      <c r="E877">
        <v>1366</v>
      </c>
    </row>
    <row r="878" spans="1:5" ht="12.75">
      <c r="A878">
        <v>92003</v>
      </c>
      <c r="B878">
        <v>92</v>
      </c>
      <c r="C878" t="s">
        <v>93</v>
      </c>
      <c r="D878">
        <v>3</v>
      </c>
      <c r="E878">
        <v>1449</v>
      </c>
    </row>
    <row r="879" spans="1:5" ht="12.75">
      <c r="A879">
        <v>92004</v>
      </c>
      <c r="B879">
        <v>92</v>
      </c>
      <c r="C879" t="s">
        <v>93</v>
      </c>
      <c r="D879">
        <v>4</v>
      </c>
      <c r="E879">
        <v>1449</v>
      </c>
    </row>
    <row r="880" spans="1:5" ht="12.75">
      <c r="A880">
        <v>92005</v>
      </c>
      <c r="B880">
        <v>92</v>
      </c>
      <c r="C880" t="s">
        <v>93</v>
      </c>
      <c r="D880">
        <v>5</v>
      </c>
      <c r="E880">
        <v>1242</v>
      </c>
    </row>
    <row r="881" spans="1:5" ht="12.75">
      <c r="A881">
        <v>92006</v>
      </c>
      <c r="B881">
        <v>92</v>
      </c>
      <c r="C881" t="s">
        <v>93</v>
      </c>
      <c r="D881">
        <v>6</v>
      </c>
      <c r="E881">
        <v>1201</v>
      </c>
    </row>
    <row r="882" spans="1:5" ht="12.75">
      <c r="A882">
        <v>92007</v>
      </c>
      <c r="B882">
        <v>92</v>
      </c>
      <c r="C882" t="s">
        <v>93</v>
      </c>
      <c r="D882">
        <v>7</v>
      </c>
      <c r="E882">
        <v>1201</v>
      </c>
    </row>
    <row r="883" spans="1:5" ht="12.75">
      <c r="A883">
        <v>92008</v>
      </c>
      <c r="B883">
        <v>92</v>
      </c>
      <c r="C883" t="s">
        <v>93</v>
      </c>
      <c r="D883">
        <v>8</v>
      </c>
      <c r="E883">
        <v>1159</v>
      </c>
    </row>
    <row r="884" spans="1:5" ht="12.75">
      <c r="A884">
        <v>92009</v>
      </c>
      <c r="B884">
        <v>92</v>
      </c>
      <c r="C884" t="s">
        <v>93</v>
      </c>
      <c r="D884">
        <v>9</v>
      </c>
      <c r="E884">
        <v>1159</v>
      </c>
    </row>
    <row r="885" spans="1:5" ht="12.75">
      <c r="A885">
        <v>92010</v>
      </c>
      <c r="B885">
        <v>92</v>
      </c>
      <c r="C885" t="s">
        <v>93</v>
      </c>
      <c r="D885">
        <v>10</v>
      </c>
      <c r="E885">
        <v>1201</v>
      </c>
    </row>
    <row r="886" spans="1:5" ht="12.75">
      <c r="A886">
        <v>92011</v>
      </c>
      <c r="B886">
        <v>92</v>
      </c>
      <c r="C886" t="s">
        <v>93</v>
      </c>
      <c r="D886">
        <v>11</v>
      </c>
      <c r="E886">
        <v>1159</v>
      </c>
    </row>
    <row r="887" spans="1:5" ht="12.75">
      <c r="A887">
        <v>92012</v>
      </c>
      <c r="B887">
        <v>92</v>
      </c>
      <c r="C887" t="s">
        <v>93</v>
      </c>
      <c r="D887">
        <v>12</v>
      </c>
      <c r="E887">
        <v>1491</v>
      </c>
    </row>
    <row r="888" spans="1:5" ht="12.75">
      <c r="A888">
        <v>93001</v>
      </c>
      <c r="B888">
        <v>93</v>
      </c>
      <c r="C888" t="s">
        <v>94</v>
      </c>
      <c r="D888">
        <v>1</v>
      </c>
      <c r="E888">
        <v>1814</v>
      </c>
    </row>
    <row r="889" spans="1:5" ht="12.75">
      <c r="A889">
        <v>93002</v>
      </c>
      <c r="B889">
        <v>93</v>
      </c>
      <c r="C889" t="s">
        <v>94</v>
      </c>
      <c r="D889">
        <v>2</v>
      </c>
      <c r="E889">
        <v>1555</v>
      </c>
    </row>
    <row r="890" spans="1:5" ht="12.75">
      <c r="A890">
        <v>93003</v>
      </c>
      <c r="B890">
        <v>93</v>
      </c>
      <c r="C890" t="s">
        <v>94</v>
      </c>
      <c r="D890">
        <v>3</v>
      </c>
      <c r="E890">
        <v>1762</v>
      </c>
    </row>
    <row r="891" spans="1:5" ht="12.75">
      <c r="A891">
        <v>93004</v>
      </c>
      <c r="B891">
        <v>93</v>
      </c>
      <c r="C891" t="s">
        <v>94</v>
      </c>
      <c r="D891">
        <v>4</v>
      </c>
      <c r="E891">
        <v>1814</v>
      </c>
    </row>
    <row r="892" spans="1:5" ht="12.75">
      <c r="A892">
        <v>93005</v>
      </c>
      <c r="B892">
        <v>93</v>
      </c>
      <c r="C892" t="s">
        <v>94</v>
      </c>
      <c r="D892">
        <v>5</v>
      </c>
      <c r="E892">
        <v>1762</v>
      </c>
    </row>
    <row r="893" spans="1:5" ht="12.75">
      <c r="A893">
        <v>93006</v>
      </c>
      <c r="B893">
        <v>93</v>
      </c>
      <c r="C893" t="s">
        <v>94</v>
      </c>
      <c r="D893">
        <v>6</v>
      </c>
      <c r="E893">
        <v>1762</v>
      </c>
    </row>
    <row r="894" spans="1:5" ht="12.75">
      <c r="A894">
        <v>93007</v>
      </c>
      <c r="B894">
        <v>93</v>
      </c>
      <c r="C894" t="s">
        <v>94</v>
      </c>
      <c r="D894">
        <v>7</v>
      </c>
      <c r="E894">
        <v>1762</v>
      </c>
    </row>
    <row r="895" spans="1:5" ht="12.75">
      <c r="A895">
        <v>93008</v>
      </c>
      <c r="B895">
        <v>93</v>
      </c>
      <c r="C895" t="s">
        <v>94</v>
      </c>
      <c r="D895">
        <v>8</v>
      </c>
      <c r="E895">
        <v>1555</v>
      </c>
    </row>
    <row r="896" spans="1:5" ht="12.75">
      <c r="A896">
        <v>93009</v>
      </c>
      <c r="B896">
        <v>93</v>
      </c>
      <c r="C896" t="s">
        <v>94</v>
      </c>
      <c r="D896">
        <v>9</v>
      </c>
      <c r="E896">
        <v>1762</v>
      </c>
    </row>
    <row r="897" spans="1:5" ht="12.75">
      <c r="A897">
        <v>94001</v>
      </c>
      <c r="B897">
        <v>94</v>
      </c>
      <c r="C897" t="s">
        <v>95</v>
      </c>
      <c r="D897">
        <v>1</v>
      </c>
      <c r="E897">
        <v>3695</v>
      </c>
    </row>
    <row r="898" spans="1:5" ht="12.75">
      <c r="A898">
        <v>94002</v>
      </c>
      <c r="B898">
        <v>94</v>
      </c>
      <c r="C898" t="s">
        <v>95</v>
      </c>
      <c r="D898">
        <v>2</v>
      </c>
      <c r="E898">
        <v>3695</v>
      </c>
    </row>
    <row r="899" spans="1:5" ht="12.75">
      <c r="A899">
        <v>94003</v>
      </c>
      <c r="B899">
        <v>94</v>
      </c>
      <c r="C899" t="s">
        <v>95</v>
      </c>
      <c r="D899">
        <v>3</v>
      </c>
      <c r="E899">
        <v>3695</v>
      </c>
    </row>
    <row r="900" spans="1:5" ht="12.75">
      <c r="A900">
        <v>94004</v>
      </c>
      <c r="B900">
        <v>94</v>
      </c>
      <c r="C900" t="s">
        <v>95</v>
      </c>
      <c r="D900">
        <v>4</v>
      </c>
      <c r="E900">
        <v>3695</v>
      </c>
    </row>
    <row r="901" spans="1:5" ht="12.75">
      <c r="A901">
        <v>94005</v>
      </c>
      <c r="B901">
        <v>94</v>
      </c>
      <c r="C901" t="s">
        <v>95</v>
      </c>
      <c r="D901">
        <v>5</v>
      </c>
      <c r="E901">
        <v>3695</v>
      </c>
    </row>
    <row r="902" spans="1:5" ht="12.75">
      <c r="A902">
        <v>94006</v>
      </c>
      <c r="B902">
        <v>94</v>
      </c>
      <c r="C902" t="s">
        <v>95</v>
      </c>
      <c r="D902">
        <v>6</v>
      </c>
      <c r="E902">
        <v>3695</v>
      </c>
    </row>
    <row r="903" spans="1:5" ht="12.75">
      <c r="A903">
        <v>94007</v>
      </c>
      <c r="B903">
        <v>94</v>
      </c>
      <c r="C903" t="s">
        <v>95</v>
      </c>
      <c r="D903">
        <v>7</v>
      </c>
      <c r="E903">
        <v>3695</v>
      </c>
    </row>
    <row r="904" spans="1:5" ht="12.75">
      <c r="A904">
        <v>94008</v>
      </c>
      <c r="B904">
        <v>94</v>
      </c>
      <c r="C904" t="s">
        <v>95</v>
      </c>
      <c r="D904">
        <v>8</v>
      </c>
      <c r="E904">
        <v>3695</v>
      </c>
    </row>
    <row r="905" spans="1:5" ht="12.75">
      <c r="A905">
        <v>94009</v>
      </c>
      <c r="B905">
        <v>94</v>
      </c>
      <c r="C905" t="s">
        <v>95</v>
      </c>
      <c r="D905">
        <v>9</v>
      </c>
      <c r="E905">
        <v>3695</v>
      </c>
    </row>
    <row r="906" spans="1:5" ht="12.75">
      <c r="A906">
        <v>94010</v>
      </c>
      <c r="B906">
        <v>94</v>
      </c>
      <c r="C906" t="s">
        <v>95</v>
      </c>
      <c r="D906">
        <v>10</v>
      </c>
      <c r="E906">
        <v>3695</v>
      </c>
    </row>
    <row r="907" spans="1:5" ht="12.75">
      <c r="A907">
        <v>94011</v>
      </c>
      <c r="B907">
        <v>94</v>
      </c>
      <c r="C907" t="s">
        <v>95</v>
      </c>
      <c r="D907">
        <v>11</v>
      </c>
      <c r="E907">
        <v>3695</v>
      </c>
    </row>
    <row r="908" spans="1:5" ht="12.75">
      <c r="A908">
        <v>94012</v>
      </c>
      <c r="B908">
        <v>94</v>
      </c>
      <c r="C908" t="s">
        <v>95</v>
      </c>
      <c r="D908">
        <v>12</v>
      </c>
      <c r="E908">
        <v>3695</v>
      </c>
    </row>
    <row r="909" spans="1:5" ht="12.75">
      <c r="A909">
        <v>94013</v>
      </c>
      <c r="B909">
        <v>94</v>
      </c>
      <c r="C909" t="s">
        <v>95</v>
      </c>
      <c r="D909">
        <v>13</v>
      </c>
      <c r="E909">
        <v>3695</v>
      </c>
    </row>
    <row r="910" spans="1:5" ht="12.75">
      <c r="A910">
        <v>94014</v>
      </c>
      <c r="B910">
        <v>94</v>
      </c>
      <c r="C910" t="s">
        <v>95</v>
      </c>
      <c r="D910">
        <v>14</v>
      </c>
      <c r="E910">
        <v>3695</v>
      </c>
    </row>
    <row r="911" spans="1:5" ht="12.75">
      <c r="A911">
        <v>94015</v>
      </c>
      <c r="B911">
        <v>94</v>
      </c>
      <c r="C911" t="s">
        <v>95</v>
      </c>
      <c r="D911">
        <v>15</v>
      </c>
      <c r="E911">
        <v>3695</v>
      </c>
    </row>
    <row r="912" spans="1:5" ht="12.75">
      <c r="A912">
        <v>94016</v>
      </c>
      <c r="B912">
        <v>94</v>
      </c>
      <c r="C912" t="s">
        <v>95</v>
      </c>
      <c r="D912">
        <v>16</v>
      </c>
      <c r="E912">
        <v>3695</v>
      </c>
    </row>
    <row r="913" spans="1:5" ht="12.75">
      <c r="A913">
        <v>95001</v>
      </c>
      <c r="B913">
        <v>95</v>
      </c>
      <c r="C913" t="s">
        <v>96</v>
      </c>
      <c r="D913">
        <v>1</v>
      </c>
      <c r="E913">
        <v>4445</v>
      </c>
    </row>
    <row r="914" spans="1:5" ht="12.75">
      <c r="A914">
        <v>95002</v>
      </c>
      <c r="B914">
        <v>95</v>
      </c>
      <c r="C914" t="s">
        <v>96</v>
      </c>
      <c r="D914">
        <v>2</v>
      </c>
      <c r="E914">
        <v>4445</v>
      </c>
    </row>
    <row r="915" spans="1:5" ht="12.75">
      <c r="A915">
        <v>95003</v>
      </c>
      <c r="B915">
        <v>95</v>
      </c>
      <c r="C915" t="s">
        <v>96</v>
      </c>
      <c r="D915">
        <v>3</v>
      </c>
      <c r="E915">
        <v>4445</v>
      </c>
    </row>
    <row r="916" spans="1:5" ht="12.75">
      <c r="A916">
        <v>95004</v>
      </c>
      <c r="B916">
        <v>95</v>
      </c>
      <c r="C916" t="s">
        <v>96</v>
      </c>
      <c r="D916">
        <v>4</v>
      </c>
      <c r="E916">
        <v>4445</v>
      </c>
    </row>
    <row r="917" spans="1:5" ht="12.75">
      <c r="A917">
        <v>95005</v>
      </c>
      <c r="B917">
        <v>95</v>
      </c>
      <c r="C917" t="s">
        <v>96</v>
      </c>
      <c r="D917">
        <v>5</v>
      </c>
      <c r="E917">
        <v>4445</v>
      </c>
    </row>
    <row r="918" spans="1:5" ht="12.75">
      <c r="A918">
        <v>95006</v>
      </c>
      <c r="B918">
        <v>95</v>
      </c>
      <c r="C918" t="s">
        <v>96</v>
      </c>
      <c r="D918">
        <v>6</v>
      </c>
      <c r="E918">
        <v>4445</v>
      </c>
    </row>
    <row r="919" spans="1:5" ht="12.75">
      <c r="A919">
        <v>98001</v>
      </c>
      <c r="B919">
        <v>98</v>
      </c>
      <c r="C919" t="s">
        <v>97</v>
      </c>
      <c r="D919">
        <v>1</v>
      </c>
      <c r="E919">
        <v>3968</v>
      </c>
    </row>
    <row r="920" spans="1:5" ht="12.75">
      <c r="A920">
        <v>98002</v>
      </c>
      <c r="B920">
        <v>98</v>
      </c>
      <c r="C920" t="s">
        <v>97</v>
      </c>
      <c r="D920">
        <v>2</v>
      </c>
      <c r="E920">
        <v>3968</v>
      </c>
    </row>
    <row r="921" spans="1:5" ht="12.75">
      <c r="A921">
        <v>98003</v>
      </c>
      <c r="B921">
        <v>98</v>
      </c>
      <c r="C921" t="s">
        <v>97</v>
      </c>
      <c r="D921">
        <v>3</v>
      </c>
      <c r="E921">
        <v>3968</v>
      </c>
    </row>
    <row r="922" spans="1:5" ht="12.75">
      <c r="A922">
        <v>98004</v>
      </c>
      <c r="B922">
        <v>98</v>
      </c>
      <c r="C922" t="s">
        <v>97</v>
      </c>
      <c r="D922">
        <v>4</v>
      </c>
      <c r="E922">
        <v>3968</v>
      </c>
    </row>
    <row r="923" spans="1:5" ht="12.75">
      <c r="A923">
        <v>98005</v>
      </c>
      <c r="B923">
        <v>98</v>
      </c>
      <c r="C923" t="s">
        <v>97</v>
      </c>
      <c r="D923">
        <v>5</v>
      </c>
      <c r="E923">
        <v>3968</v>
      </c>
    </row>
    <row r="924" spans="1:5" ht="12.75">
      <c r="A924">
        <v>98006</v>
      </c>
      <c r="B924">
        <v>98</v>
      </c>
      <c r="C924" t="s">
        <v>97</v>
      </c>
      <c r="D924">
        <v>6</v>
      </c>
      <c r="E924">
        <v>3968</v>
      </c>
    </row>
    <row r="925" spans="1:5" ht="12.75">
      <c r="A925">
        <v>98007</v>
      </c>
      <c r="B925">
        <v>98</v>
      </c>
      <c r="C925" t="s">
        <v>97</v>
      </c>
      <c r="D925">
        <v>7</v>
      </c>
      <c r="E925">
        <v>3968</v>
      </c>
    </row>
    <row r="926" spans="1:5" ht="12.75">
      <c r="A926">
        <v>98008</v>
      </c>
      <c r="B926">
        <v>98</v>
      </c>
      <c r="C926" t="s">
        <v>97</v>
      </c>
      <c r="D926">
        <v>8</v>
      </c>
      <c r="E926">
        <v>3968</v>
      </c>
    </row>
    <row r="927" spans="1:5" ht="12.75">
      <c r="A927">
        <v>98009</v>
      </c>
      <c r="B927">
        <v>98</v>
      </c>
      <c r="C927" t="s">
        <v>97</v>
      </c>
      <c r="D927">
        <v>9</v>
      </c>
      <c r="E927">
        <v>3968</v>
      </c>
    </row>
    <row r="928" spans="1:5" ht="12.75">
      <c r="A928">
        <v>98010</v>
      </c>
      <c r="B928">
        <v>98</v>
      </c>
      <c r="C928" t="s">
        <v>97</v>
      </c>
      <c r="D928">
        <v>10</v>
      </c>
      <c r="E928">
        <v>3968</v>
      </c>
    </row>
    <row r="929" spans="1:5" ht="12.75">
      <c r="A929">
        <v>98011</v>
      </c>
      <c r="B929">
        <v>98</v>
      </c>
      <c r="C929" t="s">
        <v>97</v>
      </c>
      <c r="D929">
        <v>11</v>
      </c>
      <c r="E929">
        <v>3968</v>
      </c>
    </row>
    <row r="930" spans="1:5" ht="12.75">
      <c r="A930">
        <v>99001</v>
      </c>
      <c r="B930">
        <v>99</v>
      </c>
      <c r="C930" t="s">
        <v>98</v>
      </c>
      <c r="D930">
        <v>1</v>
      </c>
      <c r="E930">
        <v>4372</v>
      </c>
    </row>
    <row r="931" spans="1:5" ht="12.75">
      <c r="A931">
        <v>99002</v>
      </c>
      <c r="B931">
        <v>99</v>
      </c>
      <c r="C931" t="s">
        <v>98</v>
      </c>
      <c r="D931">
        <v>2</v>
      </c>
      <c r="E931">
        <v>4372</v>
      </c>
    </row>
    <row r="932" spans="1:5" ht="12.75">
      <c r="A932">
        <v>99003</v>
      </c>
      <c r="B932">
        <v>99</v>
      </c>
      <c r="C932" t="s">
        <v>98</v>
      </c>
      <c r="D932">
        <v>3</v>
      </c>
      <c r="E932">
        <v>4372</v>
      </c>
    </row>
    <row r="933" spans="1:5" ht="12.75">
      <c r="A933">
        <v>99004</v>
      </c>
      <c r="B933">
        <v>99</v>
      </c>
      <c r="C933" t="s">
        <v>98</v>
      </c>
      <c r="D933">
        <v>4</v>
      </c>
      <c r="E933">
        <v>4129</v>
      </c>
    </row>
    <row r="934" spans="1:5" ht="12.75">
      <c r="A934">
        <v>99005</v>
      </c>
      <c r="B934">
        <v>99</v>
      </c>
      <c r="C934" t="s">
        <v>98</v>
      </c>
      <c r="D934">
        <v>5</v>
      </c>
      <c r="E934">
        <v>4372</v>
      </c>
    </row>
    <row r="935" spans="1:5" ht="12.75">
      <c r="A935">
        <v>99006</v>
      </c>
      <c r="B935">
        <v>99</v>
      </c>
      <c r="C935" t="s">
        <v>98</v>
      </c>
      <c r="D935">
        <v>6</v>
      </c>
      <c r="E935">
        <v>4372</v>
      </c>
    </row>
    <row r="936" spans="1:5" ht="12.75">
      <c r="A936">
        <v>99007</v>
      </c>
      <c r="B936">
        <v>99</v>
      </c>
      <c r="C936" t="s">
        <v>98</v>
      </c>
      <c r="D936">
        <v>7</v>
      </c>
      <c r="E936">
        <v>4372</v>
      </c>
    </row>
    <row r="937" spans="1:5" ht="12.75">
      <c r="A937">
        <v>99008</v>
      </c>
      <c r="B937">
        <v>99</v>
      </c>
      <c r="C937" t="s">
        <v>98</v>
      </c>
      <c r="D937">
        <v>8</v>
      </c>
      <c r="E937">
        <v>4372</v>
      </c>
    </row>
    <row r="938" spans="1:5" ht="12.75">
      <c r="A938">
        <v>99009</v>
      </c>
      <c r="B938">
        <v>99</v>
      </c>
      <c r="C938" t="s">
        <v>98</v>
      </c>
      <c r="D938">
        <v>9</v>
      </c>
      <c r="E938">
        <v>4372</v>
      </c>
    </row>
    <row r="939" spans="1:5" ht="12.75">
      <c r="A939">
        <v>99010</v>
      </c>
      <c r="B939">
        <v>99</v>
      </c>
      <c r="C939" t="s">
        <v>98</v>
      </c>
      <c r="D939">
        <v>10</v>
      </c>
      <c r="E939">
        <v>4372</v>
      </c>
    </row>
    <row r="940" spans="1:5" ht="12.75">
      <c r="A940">
        <v>99011</v>
      </c>
      <c r="B940">
        <v>99</v>
      </c>
      <c r="C940" t="s">
        <v>98</v>
      </c>
      <c r="D940">
        <v>11</v>
      </c>
      <c r="E940">
        <v>4372</v>
      </c>
    </row>
    <row r="941" spans="1:5" ht="12.75">
      <c r="A941">
        <v>99012</v>
      </c>
      <c r="B941">
        <v>99</v>
      </c>
      <c r="C941" t="s">
        <v>98</v>
      </c>
      <c r="D941">
        <v>12</v>
      </c>
      <c r="E941">
        <v>4129</v>
      </c>
    </row>
    <row r="942" spans="1:5" ht="12.75">
      <c r="A942">
        <v>99013</v>
      </c>
      <c r="B942">
        <v>99</v>
      </c>
      <c r="C942" t="s">
        <v>98</v>
      </c>
      <c r="D942">
        <v>13</v>
      </c>
      <c r="E942">
        <v>4372</v>
      </c>
    </row>
    <row r="943" spans="1:5" ht="12.75">
      <c r="A943">
        <v>99014</v>
      </c>
      <c r="B943">
        <v>99</v>
      </c>
      <c r="C943" t="s">
        <v>98</v>
      </c>
      <c r="D943">
        <v>14</v>
      </c>
      <c r="E943">
        <v>4372</v>
      </c>
    </row>
    <row r="944" spans="1:5" ht="12.75">
      <c r="A944">
        <v>99015</v>
      </c>
      <c r="B944">
        <v>99</v>
      </c>
      <c r="C944" t="s">
        <v>98</v>
      </c>
      <c r="D944">
        <v>15</v>
      </c>
      <c r="E944">
        <v>4372</v>
      </c>
    </row>
    <row r="945" spans="1:5" ht="12.75">
      <c r="A945">
        <v>99016</v>
      </c>
      <c r="B945">
        <v>99</v>
      </c>
      <c r="C945" t="s">
        <v>98</v>
      </c>
      <c r="D945">
        <v>16</v>
      </c>
      <c r="E945">
        <v>4372</v>
      </c>
    </row>
    <row r="946" spans="1:5" ht="12.75">
      <c r="A946">
        <v>99017</v>
      </c>
      <c r="B946">
        <v>99</v>
      </c>
      <c r="C946" t="s">
        <v>98</v>
      </c>
      <c r="D946">
        <v>17</v>
      </c>
      <c r="E946">
        <v>4372</v>
      </c>
    </row>
    <row r="947" spans="1:5" ht="12.75">
      <c r="A947">
        <v>99018</v>
      </c>
      <c r="B947">
        <v>99</v>
      </c>
      <c r="C947" t="s">
        <v>98</v>
      </c>
      <c r="D947">
        <v>18</v>
      </c>
      <c r="E947">
        <v>4372</v>
      </c>
    </row>
    <row r="948" spans="1:5" ht="12.75">
      <c r="A948">
        <v>99019</v>
      </c>
      <c r="B948">
        <v>99</v>
      </c>
      <c r="C948" t="s">
        <v>98</v>
      </c>
      <c r="D948">
        <v>19</v>
      </c>
      <c r="E948">
        <v>4372</v>
      </c>
    </row>
    <row r="949" spans="1:5" ht="12.75">
      <c r="A949">
        <v>100002</v>
      </c>
      <c r="B949">
        <v>100</v>
      </c>
      <c r="C949" t="s">
        <v>99</v>
      </c>
      <c r="D949">
        <v>2</v>
      </c>
      <c r="E949">
        <v>1932</v>
      </c>
    </row>
    <row r="950" spans="1:5" ht="12.75">
      <c r="A950">
        <v>100003</v>
      </c>
      <c r="B950">
        <v>100</v>
      </c>
      <c r="C950" t="s">
        <v>99</v>
      </c>
      <c r="D950">
        <v>3</v>
      </c>
      <c r="E950">
        <v>1932</v>
      </c>
    </row>
    <row r="951" spans="1:5" ht="12.75">
      <c r="A951">
        <v>100004</v>
      </c>
      <c r="B951">
        <v>100</v>
      </c>
      <c r="C951" t="s">
        <v>99</v>
      </c>
      <c r="D951">
        <v>4</v>
      </c>
      <c r="E951">
        <v>1932</v>
      </c>
    </row>
    <row r="952" spans="1:5" ht="12.75">
      <c r="A952">
        <v>100005</v>
      </c>
      <c r="B952">
        <v>100</v>
      </c>
      <c r="C952" t="s">
        <v>99</v>
      </c>
      <c r="D952">
        <v>5</v>
      </c>
      <c r="E952">
        <v>1932</v>
      </c>
    </row>
    <row r="953" spans="1:5" ht="12.75">
      <c r="A953">
        <v>100006</v>
      </c>
      <c r="B953">
        <v>100</v>
      </c>
      <c r="C953" t="s">
        <v>99</v>
      </c>
      <c r="D953">
        <v>6</v>
      </c>
      <c r="E953">
        <v>1932</v>
      </c>
    </row>
    <row r="954" spans="1:5" ht="12.75">
      <c r="A954">
        <v>100007</v>
      </c>
      <c r="B954">
        <v>100</v>
      </c>
      <c r="C954" t="s">
        <v>99</v>
      </c>
      <c r="D954">
        <v>7</v>
      </c>
      <c r="E954">
        <v>1932</v>
      </c>
    </row>
    <row r="955" spans="1:5" ht="12.75">
      <c r="A955">
        <v>100008</v>
      </c>
      <c r="B955">
        <v>100</v>
      </c>
      <c r="C955" t="s">
        <v>99</v>
      </c>
      <c r="D955">
        <v>8</v>
      </c>
      <c r="E955">
        <v>1932</v>
      </c>
    </row>
    <row r="956" spans="1:5" ht="12.75">
      <c r="A956">
        <v>102001</v>
      </c>
      <c r="B956">
        <v>102</v>
      </c>
      <c r="C956" t="s">
        <v>100</v>
      </c>
      <c r="D956">
        <v>1</v>
      </c>
      <c r="E956">
        <v>3134</v>
      </c>
    </row>
    <row r="957" spans="1:5" ht="12.75">
      <c r="A957">
        <v>102002</v>
      </c>
      <c r="B957">
        <v>102</v>
      </c>
      <c r="C957" t="s">
        <v>100</v>
      </c>
      <c r="D957">
        <v>2</v>
      </c>
      <c r="E957">
        <v>3134</v>
      </c>
    </row>
    <row r="958" spans="1:5" ht="12.75">
      <c r="A958">
        <v>102003</v>
      </c>
      <c r="B958">
        <v>102</v>
      </c>
      <c r="C958" t="s">
        <v>100</v>
      </c>
      <c r="D958">
        <v>3</v>
      </c>
      <c r="E958">
        <v>3042</v>
      </c>
    </row>
    <row r="959" spans="1:5" ht="12.75">
      <c r="A959">
        <v>102004</v>
      </c>
      <c r="B959">
        <v>102</v>
      </c>
      <c r="C959" t="s">
        <v>100</v>
      </c>
      <c r="D959">
        <v>4</v>
      </c>
      <c r="E959">
        <v>3042</v>
      </c>
    </row>
    <row r="960" spans="1:5" ht="12.75">
      <c r="A960">
        <v>102005</v>
      </c>
      <c r="B960">
        <v>102</v>
      </c>
      <c r="C960" t="s">
        <v>100</v>
      </c>
      <c r="D960">
        <v>5</v>
      </c>
      <c r="E960">
        <v>3042</v>
      </c>
    </row>
    <row r="961" spans="1:5" ht="12.75">
      <c r="A961">
        <v>102006</v>
      </c>
      <c r="B961">
        <v>102</v>
      </c>
      <c r="C961" t="s">
        <v>100</v>
      </c>
      <c r="D961">
        <v>6</v>
      </c>
      <c r="E961">
        <v>3134</v>
      </c>
    </row>
    <row r="962" spans="1:5" ht="12.75">
      <c r="A962">
        <v>102007</v>
      </c>
      <c r="B962">
        <v>102</v>
      </c>
      <c r="C962" t="s">
        <v>100</v>
      </c>
      <c r="D962">
        <v>7</v>
      </c>
      <c r="E962">
        <v>3042</v>
      </c>
    </row>
    <row r="963" spans="1:5" ht="12.75">
      <c r="A963">
        <v>102008</v>
      </c>
      <c r="B963">
        <v>102</v>
      </c>
      <c r="C963" t="s">
        <v>100</v>
      </c>
      <c r="D963">
        <v>8</v>
      </c>
      <c r="E963">
        <v>3134</v>
      </c>
    </row>
    <row r="964" spans="1:5" ht="12.75">
      <c r="A964">
        <v>102009</v>
      </c>
      <c r="B964">
        <v>102</v>
      </c>
      <c r="C964" t="s">
        <v>100</v>
      </c>
      <c r="D964">
        <v>9</v>
      </c>
      <c r="E964">
        <v>3042</v>
      </c>
    </row>
    <row r="965" spans="1:5" ht="12.75">
      <c r="A965">
        <v>102010</v>
      </c>
      <c r="B965">
        <v>102</v>
      </c>
      <c r="C965" t="s">
        <v>100</v>
      </c>
      <c r="D965">
        <v>10</v>
      </c>
      <c r="E965">
        <v>2673</v>
      </c>
    </row>
    <row r="966" spans="1:5" ht="12.75">
      <c r="A966">
        <v>102011</v>
      </c>
      <c r="B966">
        <v>102</v>
      </c>
      <c r="C966" t="s">
        <v>100</v>
      </c>
      <c r="D966">
        <v>11</v>
      </c>
      <c r="E966">
        <v>3134</v>
      </c>
    </row>
    <row r="967" spans="1:5" ht="12.75">
      <c r="A967">
        <v>102012</v>
      </c>
      <c r="B967">
        <v>102</v>
      </c>
      <c r="C967" t="s">
        <v>100</v>
      </c>
      <c r="D967">
        <v>12</v>
      </c>
      <c r="E967">
        <v>3134</v>
      </c>
    </row>
    <row r="968" spans="1:5" ht="12.75">
      <c r="A968">
        <v>102013</v>
      </c>
      <c r="B968">
        <v>102</v>
      </c>
      <c r="C968" t="s">
        <v>100</v>
      </c>
      <c r="D968">
        <v>13</v>
      </c>
      <c r="E968">
        <v>3134</v>
      </c>
    </row>
    <row r="969" spans="1:5" ht="12.75">
      <c r="A969">
        <v>103001</v>
      </c>
      <c r="B969">
        <v>103</v>
      </c>
      <c r="C969" t="s">
        <v>101</v>
      </c>
      <c r="D969">
        <v>1</v>
      </c>
      <c r="E969">
        <v>2487</v>
      </c>
    </row>
    <row r="970" spans="1:5" ht="12.75">
      <c r="A970">
        <v>103002</v>
      </c>
      <c r="B970">
        <v>103</v>
      </c>
      <c r="C970" t="s">
        <v>101</v>
      </c>
      <c r="D970">
        <v>2</v>
      </c>
      <c r="E970">
        <v>2638</v>
      </c>
    </row>
    <row r="971" spans="1:5" ht="12.75">
      <c r="A971">
        <v>103003</v>
      </c>
      <c r="B971">
        <v>103</v>
      </c>
      <c r="C971" t="s">
        <v>101</v>
      </c>
      <c r="D971">
        <v>3</v>
      </c>
      <c r="E971">
        <v>2487</v>
      </c>
    </row>
    <row r="972" spans="1:5" ht="12.75">
      <c r="A972">
        <v>103004</v>
      </c>
      <c r="B972">
        <v>103</v>
      </c>
      <c r="C972" t="s">
        <v>101</v>
      </c>
      <c r="D972">
        <v>4</v>
      </c>
      <c r="E972">
        <v>2261</v>
      </c>
    </row>
    <row r="973" spans="1:5" ht="12.75">
      <c r="A973">
        <v>103005</v>
      </c>
      <c r="B973">
        <v>103</v>
      </c>
      <c r="C973" t="s">
        <v>101</v>
      </c>
      <c r="D973">
        <v>5</v>
      </c>
      <c r="E973">
        <v>2261</v>
      </c>
    </row>
    <row r="974" spans="1:5" ht="12.75">
      <c r="A974">
        <v>103006</v>
      </c>
      <c r="B974">
        <v>103</v>
      </c>
      <c r="C974" t="s">
        <v>101</v>
      </c>
      <c r="D974">
        <v>6</v>
      </c>
      <c r="E974">
        <v>2261</v>
      </c>
    </row>
    <row r="975" spans="1:5" ht="12.75">
      <c r="A975">
        <v>103007</v>
      </c>
      <c r="B975">
        <v>103</v>
      </c>
      <c r="C975" t="s">
        <v>101</v>
      </c>
      <c r="D975">
        <v>7</v>
      </c>
      <c r="E975">
        <v>2261</v>
      </c>
    </row>
    <row r="976" spans="1:5" ht="12.75">
      <c r="A976">
        <v>103008</v>
      </c>
      <c r="B976">
        <v>103</v>
      </c>
      <c r="C976" t="s">
        <v>101</v>
      </c>
      <c r="D976">
        <v>8</v>
      </c>
      <c r="E976">
        <v>2487</v>
      </c>
    </row>
    <row r="977" spans="1:5" ht="12.75">
      <c r="A977">
        <v>103009</v>
      </c>
      <c r="B977">
        <v>103</v>
      </c>
      <c r="C977" t="s">
        <v>101</v>
      </c>
      <c r="D977">
        <v>9</v>
      </c>
      <c r="E977">
        <v>2261</v>
      </c>
    </row>
    <row r="978" spans="1:5" ht="12.75">
      <c r="A978">
        <v>103010</v>
      </c>
      <c r="B978">
        <v>103</v>
      </c>
      <c r="C978" t="s">
        <v>101</v>
      </c>
      <c r="D978">
        <v>10</v>
      </c>
      <c r="E978">
        <v>2261</v>
      </c>
    </row>
    <row r="979" spans="1:5" ht="12.75">
      <c r="A979">
        <v>103011</v>
      </c>
      <c r="B979">
        <v>103</v>
      </c>
      <c r="C979" t="s">
        <v>101</v>
      </c>
      <c r="D979">
        <v>11</v>
      </c>
      <c r="E979">
        <v>2186</v>
      </c>
    </row>
    <row r="980" spans="1:5" ht="12.75">
      <c r="A980">
        <v>103012</v>
      </c>
      <c r="B980">
        <v>103</v>
      </c>
      <c r="C980" t="s">
        <v>101</v>
      </c>
      <c r="D980">
        <v>12</v>
      </c>
      <c r="E980">
        <v>2261</v>
      </c>
    </row>
    <row r="981" spans="1:5" ht="12.75">
      <c r="A981">
        <v>104001</v>
      </c>
      <c r="B981">
        <v>104</v>
      </c>
      <c r="C981" t="s">
        <v>102</v>
      </c>
      <c r="D981">
        <v>1</v>
      </c>
      <c r="E981">
        <v>1329</v>
      </c>
    </row>
    <row r="982" spans="1:5" ht="12.75">
      <c r="A982">
        <v>104002</v>
      </c>
      <c r="B982">
        <v>104</v>
      </c>
      <c r="C982" t="s">
        <v>102</v>
      </c>
      <c r="D982">
        <v>2</v>
      </c>
      <c r="E982">
        <v>1329</v>
      </c>
    </row>
    <row r="983" spans="1:5" ht="12.75">
      <c r="A983">
        <v>104003</v>
      </c>
      <c r="B983">
        <v>104</v>
      </c>
      <c r="C983" t="s">
        <v>102</v>
      </c>
      <c r="D983">
        <v>3</v>
      </c>
      <c r="E983">
        <v>1284</v>
      </c>
    </row>
    <row r="984" spans="1:5" ht="12.75">
      <c r="A984">
        <v>104004</v>
      </c>
      <c r="B984">
        <v>104</v>
      </c>
      <c r="C984" t="s">
        <v>102</v>
      </c>
      <c r="D984">
        <v>4</v>
      </c>
      <c r="E984">
        <v>1284</v>
      </c>
    </row>
    <row r="985" spans="1:5" ht="12.75">
      <c r="A985">
        <v>104005</v>
      </c>
      <c r="B985">
        <v>104</v>
      </c>
      <c r="C985" t="s">
        <v>102</v>
      </c>
      <c r="D985">
        <v>5</v>
      </c>
      <c r="E985">
        <v>1329</v>
      </c>
    </row>
    <row r="986" spans="1:5" ht="12.75">
      <c r="A986">
        <v>104006</v>
      </c>
      <c r="B986">
        <v>104</v>
      </c>
      <c r="C986" t="s">
        <v>102</v>
      </c>
      <c r="D986">
        <v>6</v>
      </c>
      <c r="E986">
        <v>1284</v>
      </c>
    </row>
    <row r="987" spans="1:5" ht="12.75">
      <c r="A987">
        <v>104007</v>
      </c>
      <c r="B987">
        <v>104</v>
      </c>
      <c r="C987" t="s">
        <v>102</v>
      </c>
      <c r="D987">
        <v>7</v>
      </c>
      <c r="E987">
        <v>1329</v>
      </c>
    </row>
    <row r="988" spans="1:5" ht="12.75">
      <c r="A988">
        <v>104008</v>
      </c>
      <c r="B988">
        <v>104</v>
      </c>
      <c r="C988" t="s">
        <v>102</v>
      </c>
      <c r="D988">
        <v>8</v>
      </c>
      <c r="E988">
        <v>1284</v>
      </c>
    </row>
    <row r="989" spans="1:5" ht="12.75">
      <c r="A989">
        <v>104009</v>
      </c>
      <c r="B989">
        <v>104</v>
      </c>
      <c r="C989" t="s">
        <v>102</v>
      </c>
      <c r="D989">
        <v>9</v>
      </c>
      <c r="E989">
        <v>1329</v>
      </c>
    </row>
    <row r="990" spans="1:5" ht="12.75">
      <c r="A990">
        <v>104010</v>
      </c>
      <c r="B990">
        <v>104</v>
      </c>
      <c r="C990" t="s">
        <v>102</v>
      </c>
      <c r="D990">
        <v>10</v>
      </c>
      <c r="E990">
        <v>1274</v>
      </c>
    </row>
    <row r="991" spans="1:5" ht="12.75">
      <c r="A991">
        <v>105001</v>
      </c>
      <c r="B991">
        <v>105</v>
      </c>
      <c r="C991" t="s">
        <v>103</v>
      </c>
      <c r="D991">
        <v>1</v>
      </c>
      <c r="E991">
        <v>1339</v>
      </c>
    </row>
    <row r="992" spans="1:5" ht="12.75">
      <c r="A992">
        <v>105002</v>
      </c>
      <c r="B992">
        <v>105</v>
      </c>
      <c r="C992" t="s">
        <v>103</v>
      </c>
      <c r="D992">
        <v>2</v>
      </c>
      <c r="E992">
        <v>1339</v>
      </c>
    </row>
    <row r="993" spans="1:5" ht="12.75">
      <c r="A993">
        <v>105003</v>
      </c>
      <c r="B993">
        <v>105</v>
      </c>
      <c r="C993" t="s">
        <v>103</v>
      </c>
      <c r="D993">
        <v>3</v>
      </c>
      <c r="E993">
        <v>1339</v>
      </c>
    </row>
    <row r="994" spans="1:5" ht="12.75">
      <c r="A994">
        <v>105004</v>
      </c>
      <c r="B994">
        <v>105</v>
      </c>
      <c r="C994" t="s">
        <v>103</v>
      </c>
      <c r="D994">
        <v>4</v>
      </c>
      <c r="E994">
        <v>1339</v>
      </c>
    </row>
    <row r="995" spans="1:5" ht="12.75">
      <c r="A995">
        <v>105005</v>
      </c>
      <c r="B995">
        <v>105</v>
      </c>
      <c r="C995" t="s">
        <v>103</v>
      </c>
      <c r="D995">
        <v>5</v>
      </c>
      <c r="E995">
        <v>1339</v>
      </c>
    </row>
    <row r="996" spans="1:5" ht="12.75">
      <c r="A996">
        <v>105006</v>
      </c>
      <c r="B996">
        <v>105</v>
      </c>
      <c r="C996" t="s">
        <v>103</v>
      </c>
      <c r="D996">
        <v>6</v>
      </c>
      <c r="E996">
        <v>1339</v>
      </c>
    </row>
    <row r="997" spans="1:5" ht="12.75">
      <c r="A997">
        <v>106001</v>
      </c>
      <c r="B997">
        <v>106</v>
      </c>
      <c r="C997" t="s">
        <v>104</v>
      </c>
      <c r="D997">
        <v>1</v>
      </c>
      <c r="E997">
        <v>1408</v>
      </c>
    </row>
    <row r="998" spans="1:5" ht="12.75">
      <c r="A998">
        <v>106002</v>
      </c>
      <c r="B998">
        <v>106</v>
      </c>
      <c r="C998" t="s">
        <v>104</v>
      </c>
      <c r="D998">
        <v>2</v>
      </c>
      <c r="E998">
        <v>1408</v>
      </c>
    </row>
    <row r="999" spans="1:5" ht="12.75">
      <c r="A999">
        <v>106003</v>
      </c>
      <c r="B999">
        <v>106</v>
      </c>
      <c r="C999" t="s">
        <v>104</v>
      </c>
      <c r="D999">
        <v>3</v>
      </c>
      <c r="E999">
        <v>1201</v>
      </c>
    </row>
    <row r="1000" spans="1:5" ht="12.75">
      <c r="A1000">
        <v>106004</v>
      </c>
      <c r="B1000">
        <v>106</v>
      </c>
      <c r="C1000" t="s">
        <v>104</v>
      </c>
      <c r="D1000">
        <v>4</v>
      </c>
      <c r="E1000">
        <v>1201</v>
      </c>
    </row>
    <row r="1001" spans="1:5" ht="12.75">
      <c r="A1001">
        <v>106005</v>
      </c>
      <c r="B1001">
        <v>106</v>
      </c>
      <c r="C1001" t="s">
        <v>104</v>
      </c>
      <c r="D1001">
        <v>5</v>
      </c>
      <c r="E1001">
        <v>1201</v>
      </c>
    </row>
    <row r="1002" spans="1:5" ht="12.75">
      <c r="A1002">
        <v>106006</v>
      </c>
      <c r="B1002">
        <v>106</v>
      </c>
      <c r="C1002" t="s">
        <v>104</v>
      </c>
      <c r="D1002">
        <v>6</v>
      </c>
      <c r="E1002">
        <v>1242</v>
      </c>
    </row>
    <row r="1003" spans="1:5" ht="12.75">
      <c r="A1003">
        <v>106007</v>
      </c>
      <c r="B1003">
        <v>106</v>
      </c>
      <c r="C1003" t="s">
        <v>104</v>
      </c>
      <c r="D1003">
        <v>7</v>
      </c>
      <c r="E1003">
        <v>1242</v>
      </c>
    </row>
    <row r="1004" spans="1:5" ht="12.75">
      <c r="A1004">
        <v>106008</v>
      </c>
      <c r="B1004">
        <v>106</v>
      </c>
      <c r="C1004" t="s">
        <v>104</v>
      </c>
      <c r="D1004">
        <v>8</v>
      </c>
      <c r="E1004">
        <v>1242</v>
      </c>
    </row>
    <row r="1005" spans="1:5" ht="12.75">
      <c r="A1005">
        <v>106009</v>
      </c>
      <c r="B1005">
        <v>106</v>
      </c>
      <c r="C1005" t="s">
        <v>104</v>
      </c>
      <c r="D1005">
        <v>9</v>
      </c>
      <c r="E1005">
        <v>1408</v>
      </c>
    </row>
    <row r="1006" spans="1:5" ht="12.75">
      <c r="A1006">
        <v>106010</v>
      </c>
      <c r="B1006">
        <v>106</v>
      </c>
      <c r="C1006" t="s">
        <v>104</v>
      </c>
      <c r="D1006">
        <v>10</v>
      </c>
      <c r="E1006">
        <v>1242</v>
      </c>
    </row>
    <row r="1007" spans="1:5" ht="12.75">
      <c r="A1007">
        <v>107001</v>
      </c>
      <c r="B1007">
        <v>107</v>
      </c>
      <c r="C1007" t="s">
        <v>105</v>
      </c>
      <c r="D1007">
        <v>1</v>
      </c>
      <c r="E1007">
        <v>1902</v>
      </c>
    </row>
    <row r="1008" spans="1:5" ht="12.75">
      <c r="A1008">
        <v>107002</v>
      </c>
      <c r="B1008">
        <v>107</v>
      </c>
      <c r="C1008" t="s">
        <v>105</v>
      </c>
      <c r="D1008">
        <v>2</v>
      </c>
      <c r="E1008">
        <v>1902</v>
      </c>
    </row>
    <row r="1009" spans="1:5" ht="12.75">
      <c r="A1009">
        <v>107003</v>
      </c>
      <c r="B1009">
        <v>107</v>
      </c>
      <c r="C1009" t="s">
        <v>105</v>
      </c>
      <c r="D1009">
        <v>3</v>
      </c>
      <c r="E1009">
        <v>1836</v>
      </c>
    </row>
    <row r="1010" spans="1:5" ht="12.75">
      <c r="A1010">
        <v>107004</v>
      </c>
      <c r="B1010">
        <v>107</v>
      </c>
      <c r="C1010" t="s">
        <v>105</v>
      </c>
      <c r="D1010">
        <v>4</v>
      </c>
      <c r="E1010">
        <v>1574</v>
      </c>
    </row>
    <row r="1011" spans="1:5" ht="12.75">
      <c r="A1011">
        <v>107005</v>
      </c>
      <c r="B1011">
        <v>107</v>
      </c>
      <c r="C1011" t="s">
        <v>105</v>
      </c>
      <c r="D1011">
        <v>5</v>
      </c>
      <c r="E1011">
        <v>1705</v>
      </c>
    </row>
    <row r="1012" spans="1:5" ht="12.75">
      <c r="A1012">
        <v>107006</v>
      </c>
      <c r="B1012">
        <v>107</v>
      </c>
      <c r="C1012" t="s">
        <v>105</v>
      </c>
      <c r="D1012">
        <v>6</v>
      </c>
      <c r="E1012">
        <v>1705</v>
      </c>
    </row>
    <row r="1013" spans="1:5" ht="12.75">
      <c r="A1013">
        <v>107007</v>
      </c>
      <c r="B1013">
        <v>107</v>
      </c>
      <c r="C1013" t="s">
        <v>105</v>
      </c>
      <c r="D1013">
        <v>7</v>
      </c>
      <c r="E1013">
        <v>1705</v>
      </c>
    </row>
    <row r="1014" spans="1:5" ht="12.75">
      <c r="A1014">
        <v>107008</v>
      </c>
      <c r="B1014">
        <v>107</v>
      </c>
      <c r="C1014" t="s">
        <v>105</v>
      </c>
      <c r="D1014">
        <v>8</v>
      </c>
      <c r="E1014">
        <v>1836</v>
      </c>
    </row>
    <row r="1015" spans="1:5" ht="12.75">
      <c r="A1015">
        <v>107009</v>
      </c>
      <c r="B1015">
        <v>107</v>
      </c>
      <c r="C1015" t="s">
        <v>105</v>
      </c>
      <c r="D1015">
        <v>9</v>
      </c>
      <c r="E1015">
        <v>1836</v>
      </c>
    </row>
    <row r="1016" spans="1:5" ht="12.75">
      <c r="A1016">
        <v>107010</v>
      </c>
      <c r="B1016">
        <v>107</v>
      </c>
      <c r="C1016" t="s">
        <v>105</v>
      </c>
      <c r="D1016">
        <v>10</v>
      </c>
      <c r="E1016">
        <v>1836</v>
      </c>
    </row>
    <row r="1017" spans="1:5" ht="12.75">
      <c r="A1017">
        <v>107011</v>
      </c>
      <c r="B1017">
        <v>107</v>
      </c>
      <c r="C1017" t="s">
        <v>105</v>
      </c>
      <c r="D1017">
        <v>11</v>
      </c>
      <c r="E1017">
        <v>1836</v>
      </c>
    </row>
    <row r="1018" spans="1:5" ht="12.75">
      <c r="A1018">
        <v>107012</v>
      </c>
      <c r="B1018">
        <v>107</v>
      </c>
      <c r="C1018" t="s">
        <v>105</v>
      </c>
      <c r="D1018">
        <v>12</v>
      </c>
      <c r="E1018">
        <v>1902</v>
      </c>
    </row>
    <row r="1019" spans="1:5" ht="12.75">
      <c r="A1019">
        <v>107013</v>
      </c>
      <c r="B1019">
        <v>107</v>
      </c>
      <c r="C1019" t="s">
        <v>105</v>
      </c>
      <c r="D1019">
        <v>13</v>
      </c>
      <c r="E1019">
        <v>1902</v>
      </c>
    </row>
    <row r="1020" spans="1:5" ht="12.75">
      <c r="A1020">
        <v>107014</v>
      </c>
      <c r="B1020">
        <v>107</v>
      </c>
      <c r="C1020" t="s">
        <v>105</v>
      </c>
      <c r="D1020">
        <v>14</v>
      </c>
      <c r="E1020">
        <v>1836</v>
      </c>
    </row>
    <row r="1021" spans="1:5" ht="12.75">
      <c r="A1021">
        <v>107015</v>
      </c>
      <c r="B1021">
        <v>107</v>
      </c>
      <c r="C1021" t="s">
        <v>105</v>
      </c>
      <c r="D1021">
        <v>15</v>
      </c>
      <c r="E1021">
        <v>1836</v>
      </c>
    </row>
    <row r="1022" spans="1:5" ht="12.75">
      <c r="A1022">
        <v>107016</v>
      </c>
      <c r="B1022">
        <v>107</v>
      </c>
      <c r="C1022" t="s">
        <v>105</v>
      </c>
      <c r="D1022">
        <v>16</v>
      </c>
      <c r="E1022">
        <v>1836</v>
      </c>
    </row>
    <row r="1023" spans="1:5" ht="12.75">
      <c r="A1023">
        <v>107017</v>
      </c>
      <c r="B1023">
        <v>107</v>
      </c>
      <c r="C1023" t="s">
        <v>105</v>
      </c>
      <c r="D1023">
        <v>17</v>
      </c>
      <c r="E1023">
        <v>1902</v>
      </c>
    </row>
    <row r="1024" spans="1:5" ht="12.75">
      <c r="A1024">
        <v>108001</v>
      </c>
      <c r="B1024">
        <v>108</v>
      </c>
      <c r="C1024" t="s">
        <v>106</v>
      </c>
      <c r="D1024">
        <v>1</v>
      </c>
      <c r="E1024">
        <v>2055</v>
      </c>
    </row>
    <row r="1025" spans="1:5" ht="12.75">
      <c r="A1025">
        <v>108002</v>
      </c>
      <c r="B1025">
        <v>108</v>
      </c>
      <c r="C1025" t="s">
        <v>106</v>
      </c>
      <c r="D1025">
        <v>2</v>
      </c>
      <c r="E1025">
        <v>2055</v>
      </c>
    </row>
    <row r="1026" spans="1:5" ht="12.75">
      <c r="A1026">
        <v>108003</v>
      </c>
      <c r="B1026">
        <v>108</v>
      </c>
      <c r="C1026" t="s">
        <v>106</v>
      </c>
      <c r="D1026">
        <v>3</v>
      </c>
      <c r="E1026">
        <v>1752</v>
      </c>
    </row>
    <row r="1027" spans="1:5" ht="12.75">
      <c r="A1027">
        <v>108004</v>
      </c>
      <c r="B1027">
        <v>108</v>
      </c>
      <c r="C1027" t="s">
        <v>106</v>
      </c>
      <c r="D1027">
        <v>4</v>
      </c>
      <c r="E1027">
        <v>1813</v>
      </c>
    </row>
    <row r="1028" spans="1:5" ht="12.75">
      <c r="A1028">
        <v>108005</v>
      </c>
      <c r="B1028">
        <v>108</v>
      </c>
      <c r="C1028" t="s">
        <v>106</v>
      </c>
      <c r="D1028">
        <v>5</v>
      </c>
      <c r="E1028">
        <v>1813</v>
      </c>
    </row>
    <row r="1029" spans="1:5" ht="12.75">
      <c r="A1029">
        <v>108006</v>
      </c>
      <c r="B1029">
        <v>108</v>
      </c>
      <c r="C1029" t="s">
        <v>106</v>
      </c>
      <c r="D1029">
        <v>6</v>
      </c>
      <c r="E1029">
        <v>1813</v>
      </c>
    </row>
    <row r="1030" spans="1:5" ht="12.75">
      <c r="A1030">
        <v>108007</v>
      </c>
      <c r="B1030">
        <v>108</v>
      </c>
      <c r="C1030" t="s">
        <v>106</v>
      </c>
      <c r="D1030">
        <v>7</v>
      </c>
      <c r="E1030">
        <v>1994</v>
      </c>
    </row>
    <row r="1031" spans="1:5" ht="12.75">
      <c r="A1031">
        <v>108008</v>
      </c>
      <c r="B1031">
        <v>108</v>
      </c>
      <c r="C1031" t="s">
        <v>106</v>
      </c>
      <c r="D1031">
        <v>8</v>
      </c>
      <c r="E1031">
        <v>1813</v>
      </c>
    </row>
    <row r="1032" spans="1:5" ht="12.75">
      <c r="A1032">
        <v>108009</v>
      </c>
      <c r="B1032">
        <v>108</v>
      </c>
      <c r="C1032" t="s">
        <v>106</v>
      </c>
      <c r="D1032">
        <v>9</v>
      </c>
      <c r="E1032">
        <v>1813</v>
      </c>
    </row>
    <row r="1033" spans="1:5" ht="12.75">
      <c r="A1033">
        <v>108010</v>
      </c>
      <c r="B1033">
        <v>108</v>
      </c>
      <c r="C1033" t="s">
        <v>106</v>
      </c>
      <c r="D1033">
        <v>10</v>
      </c>
      <c r="E1033">
        <v>2055</v>
      </c>
    </row>
    <row r="1034" spans="1:5" ht="12.75">
      <c r="A1034">
        <v>108011</v>
      </c>
      <c r="B1034">
        <v>108</v>
      </c>
      <c r="C1034" t="s">
        <v>106</v>
      </c>
      <c r="D1034">
        <v>11</v>
      </c>
      <c r="E1034">
        <v>2055</v>
      </c>
    </row>
    <row r="1035" spans="1:5" ht="12.75">
      <c r="A1035">
        <v>108012</v>
      </c>
      <c r="B1035">
        <v>108</v>
      </c>
      <c r="C1035" t="s">
        <v>106</v>
      </c>
      <c r="D1035">
        <v>12</v>
      </c>
      <c r="E1035">
        <v>1813</v>
      </c>
    </row>
    <row r="1036" spans="1:5" ht="12.75">
      <c r="A1036">
        <v>108013</v>
      </c>
      <c r="B1036">
        <v>108</v>
      </c>
      <c r="C1036" t="s">
        <v>106</v>
      </c>
      <c r="D1036">
        <v>13</v>
      </c>
      <c r="E1036">
        <v>1813</v>
      </c>
    </row>
    <row r="1037" spans="1:5" ht="12.75">
      <c r="A1037">
        <v>108014</v>
      </c>
      <c r="B1037">
        <v>108</v>
      </c>
      <c r="C1037" t="s">
        <v>106</v>
      </c>
      <c r="D1037">
        <v>14</v>
      </c>
      <c r="E1037">
        <v>1994</v>
      </c>
    </row>
    <row r="1038" spans="1:5" ht="12.75">
      <c r="A1038">
        <v>108015</v>
      </c>
      <c r="B1038">
        <v>108</v>
      </c>
      <c r="C1038" t="s">
        <v>106</v>
      </c>
      <c r="D1038">
        <v>15</v>
      </c>
      <c r="E1038">
        <v>1813</v>
      </c>
    </row>
    <row r="1039" spans="1:5" ht="12.75">
      <c r="A1039">
        <v>108017</v>
      </c>
      <c r="B1039">
        <v>108</v>
      </c>
      <c r="C1039" t="s">
        <v>106</v>
      </c>
      <c r="D1039">
        <v>17</v>
      </c>
      <c r="E1039">
        <v>1813</v>
      </c>
    </row>
    <row r="1040" spans="1:5" ht="12.75">
      <c r="A1040">
        <v>108018</v>
      </c>
      <c r="B1040">
        <v>108</v>
      </c>
      <c r="C1040" t="s">
        <v>106</v>
      </c>
      <c r="D1040">
        <v>18</v>
      </c>
      <c r="E1040">
        <v>1813</v>
      </c>
    </row>
    <row r="1041" spans="1:5" ht="12.75">
      <c r="A1041">
        <v>109001</v>
      </c>
      <c r="B1041">
        <v>109</v>
      </c>
      <c r="C1041" t="s">
        <v>107</v>
      </c>
      <c r="D1041">
        <v>1</v>
      </c>
      <c r="E1041">
        <v>2477</v>
      </c>
    </row>
    <row r="1042" spans="1:5" ht="12.75">
      <c r="A1042">
        <v>109002</v>
      </c>
      <c r="B1042">
        <v>109</v>
      </c>
      <c r="C1042" t="s">
        <v>107</v>
      </c>
      <c r="D1042">
        <v>2</v>
      </c>
      <c r="E1042">
        <v>2477</v>
      </c>
    </row>
    <row r="1043" spans="1:5" ht="12.75">
      <c r="A1043">
        <v>109003</v>
      </c>
      <c r="B1043">
        <v>109</v>
      </c>
      <c r="C1043" t="s">
        <v>107</v>
      </c>
      <c r="D1043">
        <v>3</v>
      </c>
      <c r="E1043">
        <v>2395</v>
      </c>
    </row>
    <row r="1044" spans="1:5" ht="12.75">
      <c r="A1044">
        <v>109004</v>
      </c>
      <c r="B1044">
        <v>109</v>
      </c>
      <c r="C1044" t="s">
        <v>107</v>
      </c>
      <c r="D1044">
        <v>4</v>
      </c>
      <c r="E1044">
        <v>2477</v>
      </c>
    </row>
    <row r="1045" spans="1:5" ht="12.75">
      <c r="A1045">
        <v>109005</v>
      </c>
      <c r="B1045">
        <v>109</v>
      </c>
      <c r="C1045" t="s">
        <v>107</v>
      </c>
      <c r="D1045">
        <v>5</v>
      </c>
      <c r="E1045">
        <v>2477</v>
      </c>
    </row>
    <row r="1046" spans="1:5" ht="12.75">
      <c r="A1046">
        <v>109006</v>
      </c>
      <c r="B1046">
        <v>109</v>
      </c>
      <c r="C1046" t="s">
        <v>107</v>
      </c>
      <c r="D1046">
        <v>6</v>
      </c>
      <c r="E1046">
        <v>2725</v>
      </c>
    </row>
    <row r="1047" spans="1:5" ht="12.75">
      <c r="A1047">
        <v>109007</v>
      </c>
      <c r="B1047">
        <v>109</v>
      </c>
      <c r="C1047" t="s">
        <v>107</v>
      </c>
      <c r="D1047">
        <v>7</v>
      </c>
      <c r="E1047">
        <v>2477</v>
      </c>
    </row>
    <row r="1048" spans="1:5" ht="12.75">
      <c r="A1048">
        <v>109008</v>
      </c>
      <c r="B1048">
        <v>109</v>
      </c>
      <c r="C1048" t="s">
        <v>107</v>
      </c>
      <c r="D1048">
        <v>8</v>
      </c>
      <c r="E1048">
        <v>2477</v>
      </c>
    </row>
    <row r="1049" spans="1:5" ht="12.75">
      <c r="A1049">
        <v>109009</v>
      </c>
      <c r="B1049">
        <v>109</v>
      </c>
      <c r="C1049" t="s">
        <v>107</v>
      </c>
      <c r="D1049">
        <v>9</v>
      </c>
      <c r="E1049">
        <v>2395</v>
      </c>
    </row>
    <row r="1050" spans="1:5" ht="12.75">
      <c r="A1050">
        <v>109010</v>
      </c>
      <c r="B1050">
        <v>109</v>
      </c>
      <c r="C1050" t="s">
        <v>107</v>
      </c>
      <c r="D1050">
        <v>10</v>
      </c>
      <c r="E1050">
        <v>2477</v>
      </c>
    </row>
    <row r="1051" spans="1:5" ht="12.75">
      <c r="A1051">
        <v>109011</v>
      </c>
      <c r="B1051">
        <v>109</v>
      </c>
      <c r="C1051" t="s">
        <v>107</v>
      </c>
      <c r="D1051">
        <v>11</v>
      </c>
      <c r="E1051">
        <v>2395</v>
      </c>
    </row>
    <row r="1052" spans="1:5" ht="12.75">
      <c r="A1052">
        <v>109012</v>
      </c>
      <c r="B1052">
        <v>109</v>
      </c>
      <c r="C1052" t="s">
        <v>107</v>
      </c>
      <c r="D1052">
        <v>12</v>
      </c>
      <c r="E1052">
        <v>2395</v>
      </c>
    </row>
    <row r="1053" spans="1:5" ht="12.75">
      <c r="A1053">
        <v>109013</v>
      </c>
      <c r="B1053">
        <v>109</v>
      </c>
      <c r="C1053" t="s">
        <v>107</v>
      </c>
      <c r="D1053">
        <v>13</v>
      </c>
      <c r="E1053">
        <v>2395</v>
      </c>
    </row>
    <row r="1054" spans="1:5" ht="12.75">
      <c r="A1054">
        <v>111001</v>
      </c>
      <c r="B1054">
        <v>111</v>
      </c>
      <c r="C1054" t="s">
        <v>108</v>
      </c>
      <c r="D1054">
        <v>1</v>
      </c>
      <c r="E1054">
        <v>2036</v>
      </c>
    </row>
    <row r="1055" spans="1:5" ht="12.75">
      <c r="A1055">
        <v>111002</v>
      </c>
      <c r="B1055">
        <v>111</v>
      </c>
      <c r="C1055" t="s">
        <v>108</v>
      </c>
      <c r="D1055">
        <v>2</v>
      </c>
      <c r="E1055">
        <v>415</v>
      </c>
    </row>
    <row r="1056" spans="1:5" ht="12.75">
      <c r="A1056">
        <v>111003</v>
      </c>
      <c r="B1056">
        <v>111</v>
      </c>
      <c r="C1056" t="s">
        <v>108</v>
      </c>
      <c r="D1056">
        <v>3</v>
      </c>
      <c r="E1056">
        <v>679</v>
      </c>
    </row>
    <row r="1057" spans="1:5" ht="12.75">
      <c r="A1057">
        <v>113005</v>
      </c>
      <c r="B1057">
        <v>113</v>
      </c>
      <c r="C1057" t="s">
        <v>109</v>
      </c>
      <c r="D1057">
        <v>5</v>
      </c>
      <c r="E1057">
        <v>839</v>
      </c>
    </row>
    <row r="1058" spans="1:5" ht="12.75">
      <c r="A1058">
        <v>113006</v>
      </c>
      <c r="B1058">
        <v>113</v>
      </c>
      <c r="C1058" t="s">
        <v>109</v>
      </c>
      <c r="D1058">
        <v>6</v>
      </c>
      <c r="E1058">
        <v>839</v>
      </c>
    </row>
    <row r="1059" spans="1:5" ht="12.75">
      <c r="A1059">
        <v>113007</v>
      </c>
      <c r="B1059">
        <v>113</v>
      </c>
      <c r="C1059" t="s">
        <v>109</v>
      </c>
      <c r="D1059">
        <v>7</v>
      </c>
      <c r="E1059">
        <v>839</v>
      </c>
    </row>
    <row r="1060" spans="1:5" ht="12.75">
      <c r="A1060">
        <v>113008</v>
      </c>
      <c r="B1060">
        <v>113</v>
      </c>
      <c r="C1060" t="s">
        <v>109</v>
      </c>
      <c r="D1060">
        <v>8</v>
      </c>
      <c r="E1060">
        <v>984</v>
      </c>
    </row>
    <row r="1061" spans="1:5" ht="12.75">
      <c r="A1061">
        <v>113010</v>
      </c>
      <c r="B1061">
        <v>113</v>
      </c>
      <c r="C1061" t="s">
        <v>109</v>
      </c>
      <c r="D1061">
        <v>10</v>
      </c>
      <c r="E1061">
        <v>1013</v>
      </c>
    </row>
    <row r="1062" spans="1:5" ht="12.75">
      <c r="A1062">
        <v>114005</v>
      </c>
      <c r="B1062">
        <v>114</v>
      </c>
      <c r="C1062" t="s">
        <v>110</v>
      </c>
      <c r="D1062">
        <v>5</v>
      </c>
      <c r="E1062">
        <v>1828</v>
      </c>
    </row>
    <row r="1063" spans="1:5" ht="12.75">
      <c r="A1063">
        <v>114007</v>
      </c>
      <c r="B1063">
        <v>114</v>
      </c>
      <c r="C1063" t="s">
        <v>110</v>
      </c>
      <c r="D1063">
        <v>7</v>
      </c>
      <c r="E1063">
        <v>1828</v>
      </c>
    </row>
    <row r="1064" spans="1:5" ht="12.75">
      <c r="A1064">
        <v>115004</v>
      </c>
      <c r="B1064">
        <v>115</v>
      </c>
      <c r="C1064" t="s">
        <v>111</v>
      </c>
      <c r="D1064">
        <v>4</v>
      </c>
      <c r="E1064">
        <v>1828</v>
      </c>
    </row>
    <row r="1065" spans="1:5" ht="12.75">
      <c r="A1065">
        <v>115005</v>
      </c>
      <c r="B1065">
        <v>115</v>
      </c>
      <c r="C1065" t="s">
        <v>111</v>
      </c>
      <c r="D1065">
        <v>5</v>
      </c>
      <c r="E1065">
        <v>1880</v>
      </c>
    </row>
    <row r="1066" spans="1:5" ht="12.75">
      <c r="A1066">
        <v>116001</v>
      </c>
      <c r="B1066">
        <v>116</v>
      </c>
      <c r="C1066" t="s">
        <v>112</v>
      </c>
      <c r="D1066">
        <v>1</v>
      </c>
      <c r="E1066">
        <v>1813</v>
      </c>
    </row>
    <row r="1067" spans="1:5" ht="12.75">
      <c r="A1067">
        <v>116002</v>
      </c>
      <c r="B1067">
        <v>116</v>
      </c>
      <c r="C1067" t="s">
        <v>112</v>
      </c>
      <c r="D1067">
        <v>2</v>
      </c>
      <c r="E1067">
        <v>1292</v>
      </c>
    </row>
    <row r="1068" spans="1:5" ht="12.75">
      <c r="A1068">
        <v>116003</v>
      </c>
      <c r="B1068">
        <v>116</v>
      </c>
      <c r="C1068" t="s">
        <v>112</v>
      </c>
      <c r="D1068">
        <v>3</v>
      </c>
      <c r="E1068">
        <v>1292</v>
      </c>
    </row>
    <row r="1069" spans="1:5" ht="12.75">
      <c r="A1069">
        <v>116004</v>
      </c>
      <c r="B1069">
        <v>116</v>
      </c>
      <c r="C1069" t="s">
        <v>112</v>
      </c>
      <c r="D1069">
        <v>4</v>
      </c>
      <c r="E1069">
        <v>1813</v>
      </c>
    </row>
    <row r="1070" spans="1:5" ht="12.75">
      <c r="A1070">
        <v>116005</v>
      </c>
      <c r="B1070">
        <v>116</v>
      </c>
      <c r="C1070" t="s">
        <v>112</v>
      </c>
      <c r="D1070">
        <v>5</v>
      </c>
      <c r="E1070">
        <v>1813</v>
      </c>
    </row>
    <row r="1071" spans="1:5" ht="12.75">
      <c r="A1071">
        <v>116006</v>
      </c>
      <c r="B1071">
        <v>116</v>
      </c>
      <c r="C1071" t="s">
        <v>112</v>
      </c>
      <c r="D1071">
        <v>6</v>
      </c>
      <c r="E1071">
        <v>1752</v>
      </c>
    </row>
    <row r="1072" spans="1:5" ht="12.75">
      <c r="A1072">
        <v>116007</v>
      </c>
      <c r="B1072">
        <v>116</v>
      </c>
      <c r="C1072" t="s">
        <v>112</v>
      </c>
      <c r="D1072">
        <v>7</v>
      </c>
      <c r="E1072">
        <v>1813</v>
      </c>
    </row>
    <row r="1073" spans="1:5" ht="12.75">
      <c r="A1073">
        <v>116008</v>
      </c>
      <c r="B1073">
        <v>116</v>
      </c>
      <c r="C1073" t="s">
        <v>112</v>
      </c>
      <c r="D1073">
        <v>8</v>
      </c>
      <c r="E1073">
        <v>1752</v>
      </c>
    </row>
    <row r="1074" spans="1:5" ht="12.75">
      <c r="A1074">
        <v>116009</v>
      </c>
      <c r="B1074">
        <v>116</v>
      </c>
      <c r="C1074" t="s">
        <v>112</v>
      </c>
      <c r="D1074">
        <v>9</v>
      </c>
      <c r="E1074">
        <v>1813</v>
      </c>
    </row>
    <row r="1075" spans="1:5" ht="12.75">
      <c r="A1075">
        <v>116010</v>
      </c>
      <c r="B1075">
        <v>116</v>
      </c>
      <c r="C1075" t="s">
        <v>112</v>
      </c>
      <c r="D1075">
        <v>10</v>
      </c>
      <c r="E1075">
        <v>1626</v>
      </c>
    </row>
    <row r="1076" spans="1:5" ht="12.75">
      <c r="A1076">
        <v>118000</v>
      </c>
      <c r="B1076">
        <v>118</v>
      </c>
      <c r="C1076" t="s">
        <v>113</v>
      </c>
      <c r="D1076">
        <v>0</v>
      </c>
      <c r="E1076">
        <v>875</v>
      </c>
    </row>
    <row r="1077" spans="1:5" ht="12.75">
      <c r="A1077">
        <v>118004</v>
      </c>
      <c r="B1077">
        <v>118</v>
      </c>
      <c r="C1077" t="s">
        <v>113</v>
      </c>
      <c r="D1077">
        <v>4</v>
      </c>
      <c r="E1077">
        <v>4456</v>
      </c>
    </row>
    <row r="1078" spans="1:5" ht="12.75">
      <c r="A1078">
        <v>118009</v>
      </c>
      <c r="B1078">
        <v>118</v>
      </c>
      <c r="C1078" t="s">
        <v>113</v>
      </c>
      <c r="D1078">
        <v>9</v>
      </c>
      <c r="E1078">
        <v>4456</v>
      </c>
    </row>
    <row r="1079" spans="1:5" ht="12.75">
      <c r="A1079">
        <v>118010</v>
      </c>
      <c r="B1079">
        <v>118</v>
      </c>
      <c r="C1079" t="s">
        <v>113</v>
      </c>
      <c r="D1079">
        <v>10</v>
      </c>
      <c r="E1079">
        <v>4456</v>
      </c>
    </row>
    <row r="1080" spans="1:5" ht="12.75">
      <c r="A1080">
        <v>118011</v>
      </c>
      <c r="B1080">
        <v>118</v>
      </c>
      <c r="C1080" t="s">
        <v>113</v>
      </c>
      <c r="D1080">
        <v>11</v>
      </c>
      <c r="E1080">
        <v>4456</v>
      </c>
    </row>
    <row r="1081" spans="1:5" ht="12.75">
      <c r="A1081">
        <v>118012</v>
      </c>
      <c r="B1081">
        <v>118</v>
      </c>
      <c r="C1081" t="s">
        <v>113</v>
      </c>
      <c r="D1081">
        <v>12</v>
      </c>
      <c r="E1081">
        <v>4456</v>
      </c>
    </row>
    <row r="1082" spans="1:5" ht="12.75">
      <c r="A1082">
        <v>119004</v>
      </c>
      <c r="B1082">
        <v>119</v>
      </c>
      <c r="C1082" t="s">
        <v>114</v>
      </c>
      <c r="D1082">
        <v>4</v>
      </c>
      <c r="E1082">
        <v>2251</v>
      </c>
    </row>
    <row r="1083" spans="1:5" ht="12.75">
      <c r="A1083">
        <v>119005</v>
      </c>
      <c r="B1083">
        <v>119</v>
      </c>
      <c r="C1083" t="s">
        <v>114</v>
      </c>
      <c r="D1083">
        <v>5</v>
      </c>
      <c r="E1083">
        <v>2126</v>
      </c>
    </row>
    <row r="1084" spans="1:5" ht="12.75">
      <c r="A1084">
        <v>119006</v>
      </c>
      <c r="B1084">
        <v>119</v>
      </c>
      <c r="C1084" t="s">
        <v>114</v>
      </c>
      <c r="D1084">
        <v>6</v>
      </c>
      <c r="E1084">
        <v>2126</v>
      </c>
    </row>
    <row r="1085" spans="1:5" ht="12.75">
      <c r="A1085">
        <v>119008</v>
      </c>
      <c r="B1085">
        <v>119</v>
      </c>
      <c r="C1085" t="s">
        <v>114</v>
      </c>
      <c r="D1085">
        <v>8</v>
      </c>
      <c r="E1085">
        <v>2063</v>
      </c>
    </row>
    <row r="1086" spans="1:5" ht="12.75">
      <c r="A1086">
        <v>119009</v>
      </c>
      <c r="B1086">
        <v>119</v>
      </c>
      <c r="C1086" t="s">
        <v>114</v>
      </c>
      <c r="D1086">
        <v>9</v>
      </c>
      <c r="E1086">
        <v>2063</v>
      </c>
    </row>
    <row r="1087" spans="1:5" ht="12.75">
      <c r="A1087">
        <v>119010</v>
      </c>
      <c r="B1087">
        <v>119</v>
      </c>
      <c r="C1087" t="s">
        <v>114</v>
      </c>
      <c r="D1087">
        <v>10</v>
      </c>
      <c r="E1087">
        <v>2126</v>
      </c>
    </row>
    <row r="1088" spans="1:5" ht="12.75">
      <c r="A1088">
        <v>119011</v>
      </c>
      <c r="B1088">
        <v>119</v>
      </c>
      <c r="C1088" t="s">
        <v>114</v>
      </c>
      <c r="D1088">
        <v>11</v>
      </c>
      <c r="E1088">
        <v>2126</v>
      </c>
    </row>
    <row r="1089" spans="1:5" ht="12.75">
      <c r="A1089">
        <v>119014</v>
      </c>
      <c r="B1089">
        <v>119</v>
      </c>
      <c r="C1089" t="s">
        <v>114</v>
      </c>
      <c r="D1089">
        <v>14</v>
      </c>
      <c r="E1089">
        <v>2126</v>
      </c>
    </row>
    <row r="1090" spans="1:5" ht="12.75">
      <c r="A1090">
        <v>120004</v>
      </c>
      <c r="B1090">
        <v>120</v>
      </c>
      <c r="C1090" t="s">
        <v>115</v>
      </c>
      <c r="D1090">
        <v>4</v>
      </c>
      <c r="E1090">
        <v>8847</v>
      </c>
    </row>
    <row r="1091" spans="1:5" ht="12.75">
      <c r="A1091">
        <v>120005</v>
      </c>
      <c r="B1091">
        <v>120</v>
      </c>
      <c r="C1091" t="s">
        <v>115</v>
      </c>
      <c r="D1091">
        <v>5</v>
      </c>
      <c r="E1091">
        <v>9732</v>
      </c>
    </row>
    <row r="1092" spans="1:5" ht="12.75">
      <c r="A1092">
        <v>120006</v>
      </c>
      <c r="B1092">
        <v>120</v>
      </c>
      <c r="C1092" t="s">
        <v>115</v>
      </c>
      <c r="D1092">
        <v>6</v>
      </c>
      <c r="E1092">
        <v>8847</v>
      </c>
    </row>
    <row r="1093" spans="1:5" ht="12.75">
      <c r="A1093">
        <v>120007</v>
      </c>
      <c r="B1093">
        <v>120</v>
      </c>
      <c r="C1093" t="s">
        <v>115</v>
      </c>
      <c r="D1093">
        <v>7</v>
      </c>
      <c r="E1093">
        <v>8847</v>
      </c>
    </row>
    <row r="1094" spans="1:5" ht="12.75">
      <c r="A1094">
        <v>121011</v>
      </c>
      <c r="B1094">
        <v>121</v>
      </c>
      <c r="C1094" t="s">
        <v>116</v>
      </c>
      <c r="D1094">
        <v>11</v>
      </c>
      <c r="E1094">
        <v>4320</v>
      </c>
    </row>
    <row r="1095" spans="1:5" ht="12.75">
      <c r="A1095">
        <v>121012</v>
      </c>
      <c r="B1095">
        <v>121</v>
      </c>
      <c r="C1095" t="s">
        <v>116</v>
      </c>
      <c r="D1095">
        <v>12</v>
      </c>
      <c r="E1095">
        <v>4320</v>
      </c>
    </row>
    <row r="1096" spans="1:5" ht="12.75">
      <c r="A1096">
        <v>121013</v>
      </c>
      <c r="B1096">
        <v>121</v>
      </c>
      <c r="C1096" t="s">
        <v>116</v>
      </c>
      <c r="D1096">
        <v>13</v>
      </c>
      <c r="E1096">
        <v>4320</v>
      </c>
    </row>
    <row r="1097" spans="1:5" ht="12.75">
      <c r="A1097">
        <v>121014</v>
      </c>
      <c r="B1097">
        <v>121</v>
      </c>
      <c r="C1097" t="s">
        <v>116</v>
      </c>
      <c r="D1097">
        <v>14</v>
      </c>
      <c r="E1097">
        <v>4320</v>
      </c>
    </row>
    <row r="1098" spans="1:5" ht="12.75">
      <c r="A1098">
        <v>121015</v>
      </c>
      <c r="B1098">
        <v>121</v>
      </c>
      <c r="C1098" t="s">
        <v>116</v>
      </c>
      <c r="D1098">
        <v>15</v>
      </c>
      <c r="E1098">
        <v>4320</v>
      </c>
    </row>
    <row r="1099" spans="1:5" ht="12.75">
      <c r="A1099">
        <v>121016</v>
      </c>
      <c r="B1099">
        <v>121</v>
      </c>
      <c r="C1099" t="s">
        <v>116</v>
      </c>
      <c r="D1099">
        <v>16</v>
      </c>
      <c r="E1099">
        <v>4320</v>
      </c>
    </row>
    <row r="1100" spans="1:5" ht="12.75">
      <c r="A1100">
        <v>122002</v>
      </c>
      <c r="B1100">
        <v>122</v>
      </c>
      <c r="C1100" t="s">
        <v>117</v>
      </c>
      <c r="D1100">
        <v>2</v>
      </c>
      <c r="E1100">
        <v>1489</v>
      </c>
    </row>
    <row r="1101" spans="1:5" ht="12.75">
      <c r="A1101">
        <v>122003</v>
      </c>
      <c r="B1101">
        <v>122</v>
      </c>
      <c r="C1101" t="s">
        <v>117</v>
      </c>
      <c r="D1101">
        <v>3</v>
      </c>
      <c r="E1101">
        <v>1489</v>
      </c>
    </row>
    <row r="1102" spans="1:5" ht="12.75">
      <c r="A1102">
        <v>123004</v>
      </c>
      <c r="B1102">
        <v>123</v>
      </c>
      <c r="C1102" t="s">
        <v>118</v>
      </c>
      <c r="D1102">
        <v>4</v>
      </c>
      <c r="E1102">
        <v>1489</v>
      </c>
    </row>
    <row r="1103" spans="1:5" ht="12.75">
      <c r="A1103">
        <v>123009</v>
      </c>
      <c r="B1103">
        <v>123</v>
      </c>
      <c r="C1103" t="s">
        <v>118</v>
      </c>
      <c r="D1103">
        <v>9</v>
      </c>
      <c r="E1103">
        <v>1025</v>
      </c>
    </row>
    <row r="1104" spans="1:5" ht="12.75">
      <c r="A1104">
        <v>124004</v>
      </c>
      <c r="B1104">
        <v>124</v>
      </c>
      <c r="C1104" t="s">
        <v>119</v>
      </c>
      <c r="D1104">
        <v>4</v>
      </c>
      <c r="E1104">
        <v>1025</v>
      </c>
    </row>
    <row r="1105" spans="1:5" ht="12.75">
      <c r="A1105">
        <v>125004</v>
      </c>
      <c r="B1105">
        <v>125</v>
      </c>
      <c r="C1105" t="s">
        <v>120</v>
      </c>
      <c r="D1105">
        <v>4</v>
      </c>
      <c r="E1105">
        <v>1816</v>
      </c>
    </row>
    <row r="1106" spans="1:5" ht="12.75">
      <c r="A1106">
        <v>125006</v>
      </c>
      <c r="B1106">
        <v>125</v>
      </c>
      <c r="C1106" t="s">
        <v>120</v>
      </c>
      <c r="D1106">
        <v>6</v>
      </c>
      <c r="E1106">
        <v>1816</v>
      </c>
    </row>
    <row r="1107" spans="1:5" ht="12.75">
      <c r="A1107">
        <v>126002</v>
      </c>
      <c r="B1107">
        <v>126</v>
      </c>
      <c r="C1107" t="s">
        <v>121</v>
      </c>
      <c r="D1107">
        <v>2</v>
      </c>
      <c r="E1107">
        <v>1505</v>
      </c>
    </row>
    <row r="1108" spans="1:5" ht="12.75">
      <c r="A1108">
        <v>126003</v>
      </c>
      <c r="B1108">
        <v>126</v>
      </c>
      <c r="C1108" t="s">
        <v>121</v>
      </c>
      <c r="D1108">
        <v>3</v>
      </c>
      <c r="E1108">
        <v>1505</v>
      </c>
    </row>
    <row r="1109" spans="1:5" ht="12.75">
      <c r="A1109">
        <v>126007</v>
      </c>
      <c r="B1109">
        <v>126</v>
      </c>
      <c r="C1109" t="s">
        <v>121</v>
      </c>
      <c r="D1109">
        <v>7</v>
      </c>
      <c r="E1109">
        <v>1505</v>
      </c>
    </row>
    <row r="1110" spans="1:5" ht="12.75">
      <c r="A1110">
        <v>127002</v>
      </c>
      <c r="B1110">
        <v>127</v>
      </c>
      <c r="C1110" t="s">
        <v>122</v>
      </c>
      <c r="D1110">
        <v>2</v>
      </c>
      <c r="E1110">
        <v>1605</v>
      </c>
    </row>
    <row r="1111" spans="1:5" ht="12.75">
      <c r="A1111">
        <v>127003</v>
      </c>
      <c r="B1111">
        <v>127</v>
      </c>
      <c r="C1111" t="s">
        <v>122</v>
      </c>
      <c r="D1111">
        <v>3</v>
      </c>
      <c r="E1111">
        <v>1605</v>
      </c>
    </row>
    <row r="1112" spans="1:5" ht="12.75">
      <c r="A1112">
        <v>128005</v>
      </c>
      <c r="B1112">
        <v>128</v>
      </c>
      <c r="C1112" t="s">
        <v>123</v>
      </c>
      <c r="D1112">
        <v>5</v>
      </c>
      <c r="E1112">
        <v>2127</v>
      </c>
    </row>
    <row r="1113" spans="1:5" ht="12.75">
      <c r="A1113">
        <v>128012</v>
      </c>
      <c r="B1113">
        <v>128</v>
      </c>
      <c r="C1113" t="s">
        <v>123</v>
      </c>
      <c r="D1113">
        <v>12</v>
      </c>
      <c r="E1113">
        <v>2494</v>
      </c>
    </row>
    <row r="1114" spans="1:5" ht="12.75">
      <c r="A1114">
        <v>129002</v>
      </c>
      <c r="B1114">
        <v>129</v>
      </c>
      <c r="C1114" t="s">
        <v>124</v>
      </c>
      <c r="D1114">
        <v>2</v>
      </c>
      <c r="E1114">
        <v>1932</v>
      </c>
    </row>
    <row r="1115" spans="1:5" ht="12.75">
      <c r="A1115">
        <v>129003</v>
      </c>
      <c r="B1115">
        <v>129</v>
      </c>
      <c r="C1115" t="s">
        <v>124</v>
      </c>
      <c r="D1115">
        <v>3</v>
      </c>
      <c r="E1115">
        <v>1999</v>
      </c>
    </row>
    <row r="1116" spans="1:5" ht="12.75">
      <c r="A1116">
        <v>129005</v>
      </c>
      <c r="B1116">
        <v>129</v>
      </c>
      <c r="C1116" t="s">
        <v>124</v>
      </c>
      <c r="D1116">
        <v>5</v>
      </c>
      <c r="E1116">
        <v>1999</v>
      </c>
    </row>
    <row r="1117" spans="1:5" ht="12.75">
      <c r="A1117">
        <v>129007</v>
      </c>
      <c r="B1117">
        <v>129</v>
      </c>
      <c r="C1117" t="s">
        <v>124</v>
      </c>
      <c r="D1117">
        <v>7</v>
      </c>
      <c r="E1117">
        <v>1932</v>
      </c>
    </row>
    <row r="1118" spans="1:5" ht="12.75">
      <c r="A1118">
        <v>129008</v>
      </c>
      <c r="B1118">
        <v>129</v>
      </c>
      <c r="C1118" t="s">
        <v>124</v>
      </c>
      <c r="D1118">
        <v>8</v>
      </c>
      <c r="E1118">
        <v>1932</v>
      </c>
    </row>
    <row r="1119" spans="1:5" ht="12.75">
      <c r="A1119">
        <v>130002</v>
      </c>
      <c r="B1119">
        <v>130</v>
      </c>
      <c r="C1119" t="s">
        <v>125</v>
      </c>
      <c r="D1119">
        <v>2</v>
      </c>
      <c r="E1119">
        <v>7231</v>
      </c>
    </row>
    <row r="1120" spans="1:5" ht="12.75">
      <c r="A1120">
        <v>130003</v>
      </c>
      <c r="B1120">
        <v>130</v>
      </c>
      <c r="C1120" t="s">
        <v>125</v>
      </c>
      <c r="D1120">
        <v>3</v>
      </c>
      <c r="E1120">
        <v>7231</v>
      </c>
    </row>
    <row r="1121" spans="1:5" ht="12.75">
      <c r="A1121">
        <v>130004</v>
      </c>
      <c r="B1121">
        <v>130</v>
      </c>
      <c r="C1121" t="s">
        <v>125</v>
      </c>
      <c r="D1121">
        <v>4</v>
      </c>
      <c r="E1121">
        <v>7231</v>
      </c>
    </row>
    <row r="1122" spans="1:5" ht="12.75">
      <c r="A1122">
        <v>130005</v>
      </c>
      <c r="B1122">
        <v>130</v>
      </c>
      <c r="C1122" t="s">
        <v>125</v>
      </c>
      <c r="D1122">
        <v>5</v>
      </c>
      <c r="E1122">
        <v>7231</v>
      </c>
    </row>
    <row r="1123" spans="1:5" ht="12.75">
      <c r="A1123">
        <v>130006</v>
      </c>
      <c r="B1123">
        <v>130</v>
      </c>
      <c r="C1123" t="s">
        <v>125</v>
      </c>
      <c r="D1123">
        <v>6</v>
      </c>
      <c r="E1123">
        <v>7231</v>
      </c>
    </row>
    <row r="1124" spans="1:5" ht="12.75">
      <c r="A1124">
        <v>131001</v>
      </c>
      <c r="B1124">
        <v>131</v>
      </c>
      <c r="C1124" t="s">
        <v>126</v>
      </c>
      <c r="D1124">
        <v>1</v>
      </c>
      <c r="E1124">
        <v>8993</v>
      </c>
    </row>
    <row r="1125" spans="1:5" ht="12.75">
      <c r="A1125">
        <v>131002</v>
      </c>
      <c r="B1125">
        <v>131</v>
      </c>
      <c r="C1125" t="s">
        <v>126</v>
      </c>
      <c r="D1125">
        <v>2</v>
      </c>
      <c r="E1125">
        <v>8993</v>
      </c>
    </row>
    <row r="1126" spans="1:5" ht="12.75">
      <c r="A1126">
        <v>131005</v>
      </c>
      <c r="B1126">
        <v>131</v>
      </c>
      <c r="C1126" t="s">
        <v>126</v>
      </c>
      <c r="D1126">
        <v>5</v>
      </c>
      <c r="E1126">
        <v>8993</v>
      </c>
    </row>
    <row r="1127" spans="1:5" ht="12.75">
      <c r="A1127">
        <v>132001</v>
      </c>
      <c r="B1127">
        <v>132</v>
      </c>
      <c r="C1127" t="s">
        <v>127</v>
      </c>
      <c r="D1127">
        <v>1</v>
      </c>
      <c r="E1127">
        <v>8993</v>
      </c>
    </row>
    <row r="1128" spans="1:5" ht="12.75">
      <c r="A1128">
        <v>132002</v>
      </c>
      <c r="B1128">
        <v>132</v>
      </c>
      <c r="C1128" t="s">
        <v>127</v>
      </c>
      <c r="D1128">
        <v>2</v>
      </c>
      <c r="E1128">
        <v>8993</v>
      </c>
    </row>
    <row r="1129" spans="1:5" ht="12.75">
      <c r="A1129">
        <v>132003</v>
      </c>
      <c r="B1129">
        <v>132</v>
      </c>
      <c r="C1129" t="s">
        <v>127</v>
      </c>
      <c r="D1129">
        <v>3</v>
      </c>
      <c r="E1129">
        <v>8993</v>
      </c>
    </row>
    <row r="1130" spans="1:5" ht="12.75">
      <c r="A1130">
        <v>132004</v>
      </c>
      <c r="B1130">
        <v>132</v>
      </c>
      <c r="C1130" t="s">
        <v>127</v>
      </c>
      <c r="D1130">
        <v>4</v>
      </c>
      <c r="E1130">
        <v>8993</v>
      </c>
    </row>
    <row r="1131" spans="1:5" ht="12.75">
      <c r="A1131">
        <v>133004</v>
      </c>
      <c r="B1131">
        <v>133</v>
      </c>
      <c r="C1131" t="s">
        <v>128</v>
      </c>
      <c r="D1131">
        <v>4</v>
      </c>
      <c r="E1131">
        <v>8993</v>
      </c>
    </row>
    <row r="1132" spans="1:5" ht="12.75">
      <c r="A1132">
        <v>133005</v>
      </c>
      <c r="B1132">
        <v>133</v>
      </c>
      <c r="C1132" t="s">
        <v>128</v>
      </c>
      <c r="D1132">
        <v>5</v>
      </c>
      <c r="E1132">
        <v>8993</v>
      </c>
    </row>
    <row r="1133" spans="1:5" ht="12.75">
      <c r="A1133">
        <v>133009</v>
      </c>
      <c r="B1133">
        <v>133</v>
      </c>
      <c r="C1133" t="s">
        <v>128</v>
      </c>
      <c r="D1133">
        <v>9</v>
      </c>
      <c r="E1133">
        <v>8993</v>
      </c>
    </row>
    <row r="1134" spans="1:5" ht="12.75">
      <c r="A1134">
        <v>134002</v>
      </c>
      <c r="B1134">
        <v>134</v>
      </c>
      <c r="C1134" t="s">
        <v>129</v>
      </c>
      <c r="D1134">
        <v>2</v>
      </c>
      <c r="E1134">
        <v>1764</v>
      </c>
    </row>
    <row r="1135" spans="1:5" ht="12.75">
      <c r="A1135">
        <v>134003</v>
      </c>
      <c r="B1135">
        <v>134</v>
      </c>
      <c r="C1135" t="s">
        <v>129</v>
      </c>
      <c r="D1135">
        <v>3</v>
      </c>
      <c r="E1135">
        <v>1704</v>
      </c>
    </row>
    <row r="1136" spans="1:5" ht="12.75">
      <c r="A1136">
        <v>134005</v>
      </c>
      <c r="B1136">
        <v>134</v>
      </c>
      <c r="C1136" t="s">
        <v>129</v>
      </c>
      <c r="D1136">
        <v>5</v>
      </c>
      <c r="E1136">
        <v>1704</v>
      </c>
    </row>
    <row r="1137" spans="1:5" ht="12.75">
      <c r="A1137">
        <v>309000</v>
      </c>
      <c r="B1137">
        <v>309</v>
      </c>
      <c r="C1137" t="s">
        <v>130</v>
      </c>
      <c r="D1137">
        <v>0</v>
      </c>
      <c r="E1137">
        <v>400</v>
      </c>
    </row>
    <row r="1138" spans="1:5" ht="12.75">
      <c r="A1138">
        <v>314000</v>
      </c>
      <c r="B1138">
        <v>314</v>
      </c>
      <c r="C1138" t="s">
        <v>131</v>
      </c>
      <c r="D1138">
        <v>0</v>
      </c>
      <c r="E1138">
        <v>520</v>
      </c>
    </row>
    <row r="1139" spans="1:5" ht="12.75">
      <c r="A1139">
        <v>338000</v>
      </c>
      <c r="B1139">
        <v>338</v>
      </c>
      <c r="C1139" t="s">
        <v>132</v>
      </c>
      <c r="D1139">
        <v>0</v>
      </c>
      <c r="E1139">
        <v>509</v>
      </c>
    </row>
    <row r="1140" spans="1:5" ht="12.75">
      <c r="A1140">
        <v>357000</v>
      </c>
      <c r="B1140">
        <v>357</v>
      </c>
      <c r="C1140" t="s">
        <v>133</v>
      </c>
      <c r="D1140">
        <v>0</v>
      </c>
      <c r="E1140">
        <v>700</v>
      </c>
    </row>
    <row r="1141" spans="1:5" ht="12.75">
      <c r="A1141">
        <v>387000</v>
      </c>
      <c r="B1141">
        <v>387</v>
      </c>
      <c r="C1141" t="s">
        <v>134</v>
      </c>
      <c r="D1141">
        <v>0</v>
      </c>
      <c r="E1141">
        <v>400</v>
      </c>
    </row>
    <row r="1142" spans="1:5" ht="12.75">
      <c r="A1142">
        <v>396000</v>
      </c>
      <c r="B1142">
        <v>396</v>
      </c>
      <c r="C1142" t="s">
        <v>135</v>
      </c>
      <c r="D1142">
        <v>0</v>
      </c>
      <c r="E1142">
        <v>745</v>
      </c>
    </row>
    <row r="1143" spans="1:5" ht="12.75">
      <c r="A1143">
        <v>398000</v>
      </c>
      <c r="B1143">
        <v>398</v>
      </c>
      <c r="C1143" t="s">
        <v>136</v>
      </c>
      <c r="D1143">
        <v>0</v>
      </c>
      <c r="E1143">
        <v>400</v>
      </c>
    </row>
    <row r="1144" spans="1:5" ht="12.75">
      <c r="A1144">
        <v>399000</v>
      </c>
      <c r="B1144">
        <v>399</v>
      </c>
      <c r="C1144" t="s">
        <v>137</v>
      </c>
      <c r="D1144">
        <v>0</v>
      </c>
      <c r="E1144">
        <v>400</v>
      </c>
    </row>
    <row r="1145" ht="12.75">
      <c r="A1145">
        <v>0</v>
      </c>
    </row>
  </sheetData>
  <sheetProtection password="C5B2" sheet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A1">
      <selection activeCell="G36" sqref="G36"/>
    </sheetView>
  </sheetViews>
  <sheetFormatPr defaultColWidth="11.421875" defaultRowHeight="12.75"/>
  <cols>
    <col min="1" max="1" width="5.28125" style="2" customWidth="1"/>
    <col min="2" max="35" width="12.7109375" style="2" customWidth="1"/>
    <col min="36" max="16384" width="9.140625" style="2" customWidth="1"/>
  </cols>
  <sheetData>
    <row r="1" spans="2:3" ht="14.25">
      <c r="B1" s="3"/>
      <c r="C1" s="3"/>
    </row>
    <row r="2" spans="2:7" ht="15.75">
      <c r="B2" s="173" t="s">
        <v>138</v>
      </c>
      <c r="C2" s="173"/>
      <c r="D2" s="173"/>
      <c r="E2" s="4">
        <f>x!C8</f>
        <v>25</v>
      </c>
      <c r="G2" s="5"/>
    </row>
    <row r="3" ht="15.75">
      <c r="C3" s="6"/>
    </row>
    <row r="4" spans="2:13" ht="15.75">
      <c r="B4" s="174" t="s">
        <v>139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2:13" ht="12.75">
      <c r="B5" s="175" t="s">
        <v>140</v>
      </c>
      <c r="C5" s="175"/>
      <c r="D5" s="175" t="s">
        <v>141</v>
      </c>
      <c r="E5" s="175"/>
      <c r="F5" s="175" t="s">
        <v>142</v>
      </c>
      <c r="G5" s="175"/>
      <c r="H5" s="175" t="s">
        <v>143</v>
      </c>
      <c r="I5" s="175"/>
      <c r="J5" s="175" t="s">
        <v>144</v>
      </c>
      <c r="K5" s="175"/>
      <c r="L5" s="175" t="s">
        <v>145</v>
      </c>
      <c r="M5" s="175"/>
    </row>
    <row r="6" spans="2:13" ht="12.75">
      <c r="B6" s="7" t="s">
        <v>146</v>
      </c>
      <c r="C6" s="8" t="s">
        <v>147</v>
      </c>
      <c r="D6" s="7" t="s">
        <v>148</v>
      </c>
      <c r="E6" s="8" t="s">
        <v>147</v>
      </c>
      <c r="F6" s="7" t="s">
        <v>148</v>
      </c>
      <c r="G6" s="8" t="s">
        <v>147</v>
      </c>
      <c r="H6" s="7" t="s">
        <v>148</v>
      </c>
      <c r="I6" s="8" t="s">
        <v>147</v>
      </c>
      <c r="J6" s="7" t="s">
        <v>148</v>
      </c>
      <c r="K6" s="8" t="s">
        <v>147</v>
      </c>
      <c r="L6" s="7" t="s">
        <v>148</v>
      </c>
      <c r="M6" s="8" t="s">
        <v>147</v>
      </c>
    </row>
    <row r="7" spans="2:13" ht="12.75">
      <c r="B7" s="9">
        <f>1000000*E2</f>
        <v>25000000</v>
      </c>
      <c r="C7" s="10">
        <f>+B7</f>
        <v>25000000</v>
      </c>
      <c r="D7" s="11">
        <v>0.04</v>
      </c>
      <c r="E7" s="10">
        <f>+$B$7*D7</f>
        <v>1000000</v>
      </c>
      <c r="F7" s="11">
        <v>0.065</v>
      </c>
      <c r="G7" s="10">
        <f>+$B$7*F7</f>
        <v>1625000</v>
      </c>
      <c r="H7" s="11">
        <v>0.075</v>
      </c>
      <c r="I7" s="10">
        <f>+$B$7*H7</f>
        <v>1875000</v>
      </c>
      <c r="J7" s="11">
        <v>0.08</v>
      </c>
      <c r="K7" s="10">
        <f>+$B$7*J7</f>
        <v>2000000</v>
      </c>
      <c r="L7" s="11">
        <v>0.085</v>
      </c>
      <c r="M7" s="10">
        <f>+$B$7*L7</f>
        <v>2125000</v>
      </c>
    </row>
    <row r="8" spans="2:13" ht="12.75">
      <c r="B8" s="9">
        <f>4000000*E2</f>
        <v>100000000</v>
      </c>
      <c r="C8" s="10">
        <f>+C7+B8</f>
        <v>125000000</v>
      </c>
      <c r="D8" s="11">
        <f>+D7-0.005</f>
        <v>0.035</v>
      </c>
      <c r="E8" s="10">
        <f>+($C8-$C7)*D8+E7</f>
        <v>4500000</v>
      </c>
      <c r="F8" s="11">
        <f>+F7-0.005</f>
        <v>0.060000000000000005</v>
      </c>
      <c r="G8" s="10">
        <f>+($C8-$C7)*F8+G7</f>
        <v>7625000.000000001</v>
      </c>
      <c r="H8" s="11">
        <f>+H7-0.005</f>
        <v>0.06999999999999999</v>
      </c>
      <c r="I8" s="10">
        <f>+($C8-$C7)*H8+I7</f>
        <v>8875000</v>
      </c>
      <c r="J8" s="11">
        <f>+J7-0.005</f>
        <v>0.075</v>
      </c>
      <c r="K8" s="10">
        <f>+($C8-$C7)*J8+K7</f>
        <v>9500000</v>
      </c>
      <c r="L8" s="11">
        <f>+L7-0.005</f>
        <v>0.08</v>
      </c>
      <c r="M8" s="10">
        <f>+($C8-$C7)*L8+M7</f>
        <v>10125000</v>
      </c>
    </row>
    <row r="9" spans="2:13" ht="12.75">
      <c r="B9" s="9">
        <f>5000000*E2</f>
        <v>125000000</v>
      </c>
      <c r="C9" s="10">
        <f>+C8+B9</f>
        <v>250000000</v>
      </c>
      <c r="D9" s="11">
        <f>+D8-0.005</f>
        <v>0.030000000000000002</v>
      </c>
      <c r="E9" s="10">
        <f>+($C9-$C8)*D9+E8</f>
        <v>8250000</v>
      </c>
      <c r="F9" s="11">
        <f>+F8-0.005</f>
        <v>0.05500000000000001</v>
      </c>
      <c r="G9" s="10">
        <f>+($C9-$C8)*F9+G8</f>
        <v>14500000.000000002</v>
      </c>
      <c r="H9" s="11">
        <f>+H8-0.005</f>
        <v>0.06499999999999999</v>
      </c>
      <c r="I9" s="10">
        <f>+($C9-$C8)*H9+I8</f>
        <v>17000000</v>
      </c>
      <c r="J9" s="11">
        <f>+J8-0.005</f>
        <v>0.06999999999999999</v>
      </c>
      <c r="K9" s="10">
        <f>+($C9-$C8)*J9+K8</f>
        <v>18250000</v>
      </c>
      <c r="L9" s="11">
        <f>+L8-0.005</f>
        <v>0.075</v>
      </c>
      <c r="M9" s="10">
        <f>+($C9-$C8)*L9+M8</f>
        <v>19500000</v>
      </c>
    </row>
    <row r="10" spans="2:13" ht="12.75">
      <c r="B10" s="9">
        <f>20000000*E2</f>
        <v>500000000</v>
      </c>
      <c r="C10" s="10">
        <f>+C9+B10</f>
        <v>750000000</v>
      </c>
      <c r="D10" s="11">
        <f>+D9-0.005</f>
        <v>0.025</v>
      </c>
      <c r="E10" s="10">
        <f>+($C10-$C9)*D10+E9</f>
        <v>20750000</v>
      </c>
      <c r="F10" s="11">
        <f>+F9-0.005</f>
        <v>0.05000000000000001</v>
      </c>
      <c r="G10" s="10">
        <f>+($C10-$C9)*F10+G9</f>
        <v>39500000.00000001</v>
      </c>
      <c r="H10" s="11">
        <f>+H9-0.005</f>
        <v>0.05999999999999999</v>
      </c>
      <c r="I10" s="10">
        <f>+($C10-$C9)*H10+I9</f>
        <v>47000000</v>
      </c>
      <c r="J10" s="11">
        <f>+J9-0.005</f>
        <v>0.06499999999999999</v>
      </c>
      <c r="K10" s="10">
        <f>+($C10-$C9)*J10+K9</f>
        <v>50749999.99999999</v>
      </c>
      <c r="L10" s="11">
        <f>+L9-0.005</f>
        <v>0.06999999999999999</v>
      </c>
      <c r="M10" s="10">
        <f>+($C10-$C9)*L10+M9</f>
        <v>54500000</v>
      </c>
    </row>
    <row r="11" spans="2:13" ht="12.75">
      <c r="B11" s="9">
        <f>70000000*E2</f>
        <v>1750000000</v>
      </c>
      <c r="C11" s="10">
        <f>+C10+B11</f>
        <v>2500000000</v>
      </c>
      <c r="D11" s="11">
        <f>+D10-0.005</f>
        <v>0.02</v>
      </c>
      <c r="E11" s="10">
        <f>+($C11-$C10)*D11+E10</f>
        <v>55750000</v>
      </c>
      <c r="F11" s="11">
        <f>+F10-0.005</f>
        <v>0.04500000000000001</v>
      </c>
      <c r="G11" s="10">
        <f>+($C11-$C10)*F11+G10</f>
        <v>118250000.00000003</v>
      </c>
      <c r="H11" s="11">
        <f>+H10-0.005</f>
        <v>0.05499999999999999</v>
      </c>
      <c r="I11" s="10">
        <f>+($C11-$C10)*H11+I10</f>
        <v>143250000</v>
      </c>
      <c r="J11" s="11">
        <f>+J10-0.005</f>
        <v>0.05999999999999999</v>
      </c>
      <c r="K11" s="10">
        <f>+($C11-$C10)*J11+K10</f>
        <v>155749999.99999997</v>
      </c>
      <c r="L11" s="11">
        <f>+L10-0.005</f>
        <v>0.06499999999999999</v>
      </c>
      <c r="M11" s="10">
        <f>+($C11-$C10)*L11+M10</f>
        <v>168250000</v>
      </c>
    </row>
    <row r="12" spans="2:13" ht="12.75">
      <c r="B12" s="12"/>
      <c r="C12" s="13" t="s">
        <v>149</v>
      </c>
      <c r="D12" s="14">
        <f>+D11-0.005</f>
        <v>0.015</v>
      </c>
      <c r="E12" s="15"/>
      <c r="F12" s="14">
        <f>+F11-0.005</f>
        <v>0.040000000000000015</v>
      </c>
      <c r="G12" s="15"/>
      <c r="H12" s="14">
        <f>+H11-0.005</f>
        <v>0.049999999999999996</v>
      </c>
      <c r="I12" s="15"/>
      <c r="J12" s="14">
        <f>+J11-0.005</f>
        <v>0.05499999999999999</v>
      </c>
      <c r="K12" s="15"/>
      <c r="L12" s="14">
        <f>+L11-0.005</f>
        <v>0.05999999999999999</v>
      </c>
      <c r="M12" s="15"/>
    </row>
    <row r="13" ht="7.5" customHeight="1"/>
    <row r="14" spans="2:13" ht="12.75">
      <c r="B14" s="175" t="s">
        <v>140</v>
      </c>
      <c r="C14" s="175"/>
      <c r="D14" s="175" t="s">
        <v>150</v>
      </c>
      <c r="E14" s="175"/>
      <c r="F14" s="175" t="s">
        <v>151</v>
      </c>
      <c r="G14" s="175"/>
      <c r="H14" s="175" t="s">
        <v>152</v>
      </c>
      <c r="I14" s="175"/>
      <c r="J14" s="175" t="s">
        <v>153</v>
      </c>
      <c r="K14" s="175"/>
      <c r="L14" s="175" t="s">
        <v>154</v>
      </c>
      <c r="M14" s="175"/>
    </row>
    <row r="15" spans="2:13" ht="12.75">
      <c r="B15" s="7" t="s">
        <v>146</v>
      </c>
      <c r="C15" s="8" t="s">
        <v>147</v>
      </c>
      <c r="D15" s="7" t="s">
        <v>148</v>
      </c>
      <c r="E15" s="8" t="s">
        <v>147</v>
      </c>
      <c r="F15" s="7" t="s">
        <v>148</v>
      </c>
      <c r="G15" s="8" t="s">
        <v>147</v>
      </c>
      <c r="H15" s="7" t="s">
        <v>148</v>
      </c>
      <c r="I15" s="8" t="s">
        <v>147</v>
      </c>
      <c r="J15" s="7" t="s">
        <v>148</v>
      </c>
      <c r="K15" s="8" t="s">
        <v>147</v>
      </c>
      <c r="L15" s="7" t="s">
        <v>148</v>
      </c>
      <c r="M15" s="8" t="s">
        <v>147</v>
      </c>
    </row>
    <row r="16" spans="2:13" ht="12.75">
      <c r="B16" s="9">
        <f>1000000*E2</f>
        <v>25000000</v>
      </c>
      <c r="C16" s="10">
        <f>+B16</f>
        <v>25000000</v>
      </c>
      <c r="D16" s="11">
        <v>0.05</v>
      </c>
      <c r="E16" s="10">
        <f>+$B$7*D16</f>
        <v>1250000</v>
      </c>
      <c r="F16" s="11">
        <v>0.06</v>
      </c>
      <c r="G16" s="10">
        <f>+$B$7*F16</f>
        <v>1500000</v>
      </c>
      <c r="H16" s="11">
        <v>0.07</v>
      </c>
      <c r="I16" s="10">
        <f>+$B$7*H16</f>
        <v>1750000.0000000002</v>
      </c>
      <c r="J16" s="11">
        <v>0.1</v>
      </c>
      <c r="K16" s="10">
        <f>+$B$7*J16</f>
        <v>2500000</v>
      </c>
      <c r="L16" s="11">
        <v>0.15</v>
      </c>
      <c r="M16" s="10">
        <f>+$B$7*L16</f>
        <v>3750000</v>
      </c>
    </row>
    <row r="17" spans="2:13" ht="12.75">
      <c r="B17" s="9">
        <f>4000000*E2</f>
        <v>100000000</v>
      </c>
      <c r="C17" s="10">
        <f>+C16+B17</f>
        <v>125000000</v>
      </c>
      <c r="D17" s="11">
        <f>+D16-0.005</f>
        <v>0.045000000000000005</v>
      </c>
      <c r="E17" s="10">
        <f>+($C17-$C16)*D17+E16</f>
        <v>5750000.000000001</v>
      </c>
      <c r="F17" s="11">
        <f>+F16-0.005</f>
        <v>0.055</v>
      </c>
      <c r="G17" s="10">
        <f>+($C17-$C16)*F17+G16</f>
        <v>7000000</v>
      </c>
      <c r="H17" s="11">
        <f>+H16-0.005</f>
        <v>0.065</v>
      </c>
      <c r="I17" s="10">
        <f>+($C17-$C16)*H17+I16</f>
        <v>8250000</v>
      </c>
      <c r="J17" s="11">
        <f>+J16-0.005</f>
        <v>0.095</v>
      </c>
      <c r="K17" s="10">
        <f>+($C17-$C16)*J17+K16</f>
        <v>12000000</v>
      </c>
      <c r="L17" s="11">
        <f>+L16-0.01</f>
        <v>0.13999999999999999</v>
      </c>
      <c r="M17" s="10">
        <f>+($C17-$C16)*L17+M16</f>
        <v>17750000</v>
      </c>
    </row>
    <row r="18" spans="2:13" ht="12.75">
      <c r="B18" s="9">
        <f>5000000*E2</f>
        <v>125000000</v>
      </c>
      <c r="C18" s="10">
        <f>+C17+B18</f>
        <v>250000000</v>
      </c>
      <c r="D18" s="11">
        <f>+D17-0.005</f>
        <v>0.04000000000000001</v>
      </c>
      <c r="E18" s="10">
        <f>+($C18-$C17)*D18+E17</f>
        <v>10750000.000000002</v>
      </c>
      <c r="F18" s="11">
        <f>+F17-0.005</f>
        <v>0.05</v>
      </c>
      <c r="G18" s="10">
        <f>+($C18-$C17)*F18+G17</f>
        <v>13250000</v>
      </c>
      <c r="H18" s="11">
        <f>+H17-0.005</f>
        <v>0.060000000000000005</v>
      </c>
      <c r="I18" s="10">
        <f>+($C18-$C17)*H18+I17</f>
        <v>15750000</v>
      </c>
      <c r="J18" s="11">
        <f>+J17-0.005</f>
        <v>0.09</v>
      </c>
      <c r="K18" s="10">
        <f>+($C18-$C17)*J18+K17</f>
        <v>23250000</v>
      </c>
      <c r="L18" s="11">
        <f>+L17-0.01</f>
        <v>0.12999999999999998</v>
      </c>
      <c r="M18" s="10">
        <f>+($C18-$C17)*L18+M17</f>
        <v>34000000</v>
      </c>
    </row>
    <row r="19" spans="2:13" ht="12.75">
      <c r="B19" s="9">
        <f>20000000*E2</f>
        <v>500000000</v>
      </c>
      <c r="C19" s="10">
        <f>+C18+B19</f>
        <v>750000000</v>
      </c>
      <c r="D19" s="16">
        <v>0.0375</v>
      </c>
      <c r="E19" s="10">
        <f>+($C19-$C18)*D19+E18</f>
        <v>29500000</v>
      </c>
      <c r="F19" s="11">
        <f>+F18-0.005</f>
        <v>0.045000000000000005</v>
      </c>
      <c r="G19" s="10">
        <f>+($C19-$C18)*F19+G18</f>
        <v>35750000</v>
      </c>
      <c r="H19" s="11">
        <f>+H18-0.005</f>
        <v>0.05500000000000001</v>
      </c>
      <c r="I19" s="10">
        <f>+($C19-$C18)*H19+I18</f>
        <v>43250000</v>
      </c>
      <c r="J19" s="11">
        <f>+J18-0.005</f>
        <v>0.08499999999999999</v>
      </c>
      <c r="K19" s="10">
        <f>+($C19-$C18)*J19+K18</f>
        <v>65749999.99999999</v>
      </c>
      <c r="L19" s="11">
        <f>+L18-0.01</f>
        <v>0.11999999999999998</v>
      </c>
      <c r="M19" s="10">
        <f>+($C19-$C18)*L19+M18</f>
        <v>94000000</v>
      </c>
    </row>
    <row r="20" spans="2:13" ht="12.75">
      <c r="B20" s="9">
        <f>70000000*E2</f>
        <v>1750000000</v>
      </c>
      <c r="C20" s="10">
        <f>+C19+B20</f>
        <v>2500000000</v>
      </c>
      <c r="D20" s="11">
        <v>0.035</v>
      </c>
      <c r="E20" s="10">
        <f>+($C20-$C19)*D20+E19</f>
        <v>90750000</v>
      </c>
      <c r="F20" s="11">
        <f>+F19-0.005</f>
        <v>0.04000000000000001</v>
      </c>
      <c r="G20" s="10">
        <f>+($C20-$C19)*F20+G19</f>
        <v>105750000.00000001</v>
      </c>
      <c r="H20" s="11">
        <f>+H19-0.005</f>
        <v>0.05000000000000001</v>
      </c>
      <c r="I20" s="10">
        <f>+($C20-$C19)*H20+I19</f>
        <v>130750000.00000001</v>
      </c>
      <c r="J20" s="11">
        <f>+J19-0.005</f>
        <v>0.07999999999999999</v>
      </c>
      <c r="K20" s="10">
        <f>+($C20-$C19)*J20+K19</f>
        <v>205749999.99999997</v>
      </c>
      <c r="L20" s="11">
        <f>+L19-0.01</f>
        <v>0.10999999999999999</v>
      </c>
      <c r="M20" s="10">
        <f>+($C20-$C19)*L20+M19</f>
        <v>286500000</v>
      </c>
    </row>
    <row r="21" spans="2:13" ht="12.75">
      <c r="B21" s="12"/>
      <c r="C21" s="13" t="s">
        <v>149</v>
      </c>
      <c r="D21" s="17">
        <v>0.0325</v>
      </c>
      <c r="E21" s="15"/>
      <c r="F21" s="14">
        <f>+F20-0.005</f>
        <v>0.03500000000000001</v>
      </c>
      <c r="G21" s="15"/>
      <c r="H21" s="14">
        <f>+H20-0.005</f>
        <v>0.04500000000000001</v>
      </c>
      <c r="I21" s="15"/>
      <c r="J21" s="14">
        <f>+J20-0.005</f>
        <v>0.07499999999999998</v>
      </c>
      <c r="K21" s="15"/>
      <c r="L21" s="14">
        <f>+L20-0.01</f>
        <v>0.09999999999999999</v>
      </c>
      <c r="M21" s="15"/>
    </row>
    <row r="22" spans="2:13" ht="12.75">
      <c r="B22" s="18"/>
      <c r="C22" s="19"/>
      <c r="D22" s="20"/>
      <c r="E22" s="18"/>
      <c r="F22" s="21"/>
      <c r="G22" s="18"/>
      <c r="H22" s="21"/>
      <c r="I22" s="18"/>
      <c r="J22" s="21"/>
      <c r="K22" s="18"/>
      <c r="L22" s="21"/>
      <c r="M22" s="18"/>
    </row>
    <row r="24" spans="2:5" ht="15.75">
      <c r="B24" s="174" t="s">
        <v>155</v>
      </c>
      <c r="C24" s="174"/>
      <c r="D24" s="174"/>
      <c r="E24" s="174"/>
    </row>
    <row r="25" spans="2:5" ht="12.75">
      <c r="B25" s="176" t="s">
        <v>140</v>
      </c>
      <c r="C25" s="176"/>
      <c r="D25" s="175" t="s">
        <v>156</v>
      </c>
      <c r="E25" s="175"/>
    </row>
    <row r="26" spans="2:5" ht="12.75">
      <c r="B26" s="22" t="s">
        <v>146</v>
      </c>
      <c r="C26" s="23" t="s">
        <v>147</v>
      </c>
      <c r="D26" s="24" t="s">
        <v>148</v>
      </c>
      <c r="E26" s="25" t="s">
        <v>147</v>
      </c>
    </row>
    <row r="27" spans="2:5" ht="12.75">
      <c r="B27" s="9">
        <f>1000000*E2</f>
        <v>25000000</v>
      </c>
      <c r="C27" s="10">
        <f>+B27</f>
        <v>25000000</v>
      </c>
      <c r="D27" s="11">
        <v>0.05</v>
      </c>
      <c r="E27" s="10">
        <f>+D27*B27</f>
        <v>1250000</v>
      </c>
    </row>
    <row r="28" spans="2:5" ht="12.75">
      <c r="B28" s="9">
        <f>4000000*E2</f>
        <v>100000000</v>
      </c>
      <c r="C28" s="10">
        <f aca="true" t="shared" si="0" ref="C28:C33">+C27+B28</f>
        <v>125000000</v>
      </c>
      <c r="D28" s="11">
        <v>0.04</v>
      </c>
      <c r="E28" s="10">
        <f aca="true" t="shared" si="1" ref="E28:E33">+(C28-C27)*D28+E27</f>
        <v>5250000</v>
      </c>
    </row>
    <row r="29" spans="2:5" ht="12.75">
      <c r="B29" s="9">
        <f>5000000*E2</f>
        <v>125000000</v>
      </c>
      <c r="C29" s="10">
        <f t="shared" si="0"/>
        <v>250000000</v>
      </c>
      <c r="D29" s="11">
        <v>0.03</v>
      </c>
      <c r="E29" s="10">
        <f t="shared" si="1"/>
        <v>9000000</v>
      </c>
    </row>
    <row r="30" spans="2:5" ht="12.75">
      <c r="B30" s="9">
        <f>10000000*E2</f>
        <v>250000000</v>
      </c>
      <c r="C30" s="10">
        <f t="shared" si="0"/>
        <v>500000000</v>
      </c>
      <c r="D30" s="11">
        <v>0.025</v>
      </c>
      <c r="E30" s="10">
        <f t="shared" si="1"/>
        <v>15250000</v>
      </c>
    </row>
    <row r="31" spans="2:5" ht="12.75">
      <c r="B31" s="9">
        <f>20000000*E2</f>
        <v>500000000</v>
      </c>
      <c r="C31" s="10">
        <f t="shared" si="0"/>
        <v>1000000000</v>
      </c>
      <c r="D31" s="11">
        <v>0.02</v>
      </c>
      <c r="E31" s="10">
        <f t="shared" si="1"/>
        <v>25250000</v>
      </c>
    </row>
    <row r="32" spans="2:5" ht="12.75">
      <c r="B32" s="9">
        <f>40000000*E2</f>
        <v>1000000000</v>
      </c>
      <c r="C32" s="10">
        <f t="shared" si="0"/>
        <v>2000000000</v>
      </c>
      <c r="D32" s="11">
        <v>0.015</v>
      </c>
      <c r="E32" s="10">
        <f t="shared" si="1"/>
        <v>40250000</v>
      </c>
    </row>
    <row r="33" spans="2:5" ht="12.75">
      <c r="B33" s="9">
        <f>80000000*E2</f>
        <v>2000000000</v>
      </c>
      <c r="C33" s="10">
        <f t="shared" si="0"/>
        <v>4000000000</v>
      </c>
      <c r="D33" s="11">
        <v>0.01</v>
      </c>
      <c r="E33" s="10">
        <f t="shared" si="1"/>
        <v>60250000</v>
      </c>
    </row>
    <row r="34" spans="2:5" ht="12.75">
      <c r="B34" s="12"/>
      <c r="C34" s="13" t="s">
        <v>149</v>
      </c>
      <c r="D34" s="14">
        <f>+D33-0.005</f>
        <v>0.005</v>
      </c>
      <c r="E34" s="26"/>
    </row>
    <row r="37" spans="2:5" ht="15.75">
      <c r="B37" s="174" t="s">
        <v>157</v>
      </c>
      <c r="C37" s="174"/>
      <c r="D37" s="174"/>
      <c r="E37" s="174"/>
    </row>
    <row r="38" spans="2:5" ht="12.75">
      <c r="B38" s="176" t="s">
        <v>140</v>
      </c>
      <c r="C38" s="176"/>
      <c r="D38" s="175" t="s">
        <v>156</v>
      </c>
      <c r="E38" s="175"/>
    </row>
    <row r="39" spans="2:5" ht="12.75">
      <c r="B39" s="22" t="s">
        <v>146</v>
      </c>
      <c r="C39" s="23" t="s">
        <v>147</v>
      </c>
      <c r="D39" s="24" t="s">
        <v>148</v>
      </c>
      <c r="E39" s="25" t="s">
        <v>147</v>
      </c>
    </row>
    <row r="40" spans="2:5" ht="12.75">
      <c r="B40" s="9">
        <f>1000000*E2</f>
        <v>25000000</v>
      </c>
      <c r="C40" s="10">
        <f>+B40</f>
        <v>25000000</v>
      </c>
      <c r="D40" s="11">
        <v>0.035</v>
      </c>
      <c r="E40" s="27">
        <f>+D40*B40</f>
        <v>875000.0000000001</v>
      </c>
    </row>
    <row r="41" spans="2:7" ht="12.75">
      <c r="B41" s="9">
        <f>4000000*E2</f>
        <v>100000000</v>
      </c>
      <c r="C41" s="10">
        <f aca="true" t="shared" si="2" ref="C41:C46">+C40+B41</f>
        <v>125000000</v>
      </c>
      <c r="D41" s="11">
        <v>0.028</v>
      </c>
      <c r="E41" s="27">
        <f aca="true" t="shared" si="3" ref="E41:E46">+(C41-C40)*D41+E40</f>
        <v>3675000</v>
      </c>
      <c r="G41" s="28"/>
    </row>
    <row r="42" spans="2:7" ht="12.75">
      <c r="B42" s="9">
        <f>5000000*E2</f>
        <v>125000000</v>
      </c>
      <c r="C42" s="10">
        <f t="shared" si="2"/>
        <v>250000000</v>
      </c>
      <c r="D42" s="11">
        <v>0.022</v>
      </c>
      <c r="E42" s="27">
        <f t="shared" si="3"/>
        <v>6425000</v>
      </c>
      <c r="G42" s="28"/>
    </row>
    <row r="43" spans="2:7" ht="12.75">
      <c r="B43" s="9">
        <f>10000000*E2</f>
        <v>250000000</v>
      </c>
      <c r="C43" s="10">
        <f t="shared" si="2"/>
        <v>500000000</v>
      </c>
      <c r="D43" s="11">
        <v>0.017</v>
      </c>
      <c r="E43" s="27">
        <f t="shared" si="3"/>
        <v>10675000</v>
      </c>
      <c r="G43" s="28"/>
    </row>
    <row r="44" spans="2:7" ht="12.75">
      <c r="B44" s="9">
        <f>20000000*E2</f>
        <v>500000000</v>
      </c>
      <c r="C44" s="10">
        <f t="shared" si="2"/>
        <v>1000000000</v>
      </c>
      <c r="D44" s="11">
        <v>0.013</v>
      </c>
      <c r="E44" s="27">
        <f t="shared" si="3"/>
        <v>17175000</v>
      </c>
      <c r="G44" s="28"/>
    </row>
    <row r="45" spans="2:7" ht="12.75">
      <c r="B45" s="9">
        <f>40000000*E2</f>
        <v>1000000000</v>
      </c>
      <c r="C45" s="10">
        <f t="shared" si="2"/>
        <v>2000000000</v>
      </c>
      <c r="D45" s="11">
        <v>0.01</v>
      </c>
      <c r="E45" s="27">
        <f t="shared" si="3"/>
        <v>27175000</v>
      </c>
      <c r="G45" s="28"/>
    </row>
    <row r="46" spans="2:5" ht="12.75">
      <c r="B46" s="9">
        <f>80000000*E2</f>
        <v>2000000000</v>
      </c>
      <c r="C46" s="10">
        <f t="shared" si="2"/>
        <v>4000000000</v>
      </c>
      <c r="D46" s="11">
        <v>0.007</v>
      </c>
      <c r="E46" s="27">
        <f t="shared" si="3"/>
        <v>41175000</v>
      </c>
    </row>
    <row r="47" spans="2:5" ht="12.75">
      <c r="B47" s="12"/>
      <c r="C47" s="13" t="s">
        <v>149</v>
      </c>
      <c r="D47" s="14">
        <v>0.003</v>
      </c>
      <c r="E47" s="26"/>
    </row>
    <row r="48" spans="2:5" ht="12.75">
      <c r="B48" s="18"/>
      <c r="C48" s="19"/>
      <c r="D48" s="21"/>
      <c r="E48" s="29"/>
    </row>
    <row r="50" spans="2:7" ht="15.75">
      <c r="B50" s="174" t="s">
        <v>158</v>
      </c>
      <c r="C50" s="174"/>
      <c r="D50" s="174"/>
      <c r="E50" s="174"/>
      <c r="F50" s="174"/>
      <c r="G50" s="174"/>
    </row>
    <row r="51" spans="2:7" ht="12.75">
      <c r="B51" s="176" t="s">
        <v>140</v>
      </c>
      <c r="C51" s="176"/>
      <c r="D51" s="176" t="s">
        <v>159</v>
      </c>
      <c r="E51" s="176"/>
      <c r="F51" s="176" t="s">
        <v>160</v>
      </c>
      <c r="G51" s="176"/>
    </row>
    <row r="52" spans="2:7" ht="12.75">
      <c r="B52" s="22" t="s">
        <v>146</v>
      </c>
      <c r="C52" s="23" t="s">
        <v>147</v>
      </c>
      <c r="D52" s="24" t="s">
        <v>148</v>
      </c>
      <c r="E52" s="25" t="s">
        <v>147</v>
      </c>
      <c r="F52" s="24" t="s">
        <v>148</v>
      </c>
      <c r="G52" s="25" t="s">
        <v>147</v>
      </c>
    </row>
    <row r="53" spans="2:7" ht="12.75">
      <c r="B53" s="9">
        <f>200000*E2</f>
        <v>5000000</v>
      </c>
      <c r="C53" s="10">
        <f>+B53</f>
        <v>5000000</v>
      </c>
      <c r="D53" s="16">
        <v>0.0125</v>
      </c>
      <c r="E53" s="30">
        <f>+D53*B53</f>
        <v>62500</v>
      </c>
      <c r="F53" s="16">
        <v>0.0225</v>
      </c>
      <c r="G53" s="30">
        <f>+F53*C53</f>
        <v>112500</v>
      </c>
    </row>
    <row r="54" spans="2:7" ht="12.75">
      <c r="B54" s="9">
        <f>800000*E2</f>
        <v>20000000</v>
      </c>
      <c r="C54" s="10">
        <f>+C53+B54</f>
        <v>25000000</v>
      </c>
      <c r="D54" s="11">
        <v>0.01</v>
      </c>
      <c r="E54" s="30">
        <f>+(C54-C53)*D54+E53</f>
        <v>262500</v>
      </c>
      <c r="F54" s="11">
        <v>0.017</v>
      </c>
      <c r="G54" s="30">
        <f>+(C54-C53)*F54+G53</f>
        <v>452500</v>
      </c>
    </row>
    <row r="55" spans="2:7" ht="12.75">
      <c r="B55" s="9">
        <f>1000000*E2</f>
        <v>25000000</v>
      </c>
      <c r="C55" s="10">
        <f>+C54+B55</f>
        <v>50000000</v>
      </c>
      <c r="D55" s="11">
        <v>0.007</v>
      </c>
      <c r="E55" s="30">
        <f>+(C55-C54)*D55+E54</f>
        <v>437500</v>
      </c>
      <c r="F55" s="11">
        <v>0.012</v>
      </c>
      <c r="G55" s="30">
        <f>+(C55-C54)*F55+G54</f>
        <v>752500</v>
      </c>
    </row>
    <row r="56" spans="2:7" ht="12.75">
      <c r="B56" s="9">
        <f>3000000*E2</f>
        <v>75000000</v>
      </c>
      <c r="C56" s="10">
        <f>+C55+B56</f>
        <v>125000000</v>
      </c>
      <c r="D56" s="11">
        <v>0.005</v>
      </c>
      <c r="E56" s="30">
        <f>+(C56-C55)*D56+E55</f>
        <v>812500</v>
      </c>
      <c r="F56" s="11">
        <v>0.009</v>
      </c>
      <c r="G56" s="30">
        <f>+(C56-C55)*F56+G55</f>
        <v>1427500</v>
      </c>
    </row>
    <row r="57" spans="2:7" ht="12.75">
      <c r="B57" s="12"/>
      <c r="C57" s="13" t="s">
        <v>149</v>
      </c>
      <c r="D57" s="14">
        <v>0.003</v>
      </c>
      <c r="E57" s="26"/>
      <c r="F57" s="14">
        <v>0.006</v>
      </c>
      <c r="G57" s="26"/>
    </row>
    <row r="60" spans="2:5" ht="15.75">
      <c r="B60" s="174" t="s">
        <v>161</v>
      </c>
      <c r="C60" s="174"/>
      <c r="D60" s="174"/>
      <c r="E60" s="174"/>
    </row>
    <row r="61" spans="2:5" ht="12.75">
      <c r="B61" s="31" t="s">
        <v>162</v>
      </c>
      <c r="C61" s="32">
        <f>1000*E2</f>
        <v>25000</v>
      </c>
      <c r="D61" s="33" t="s">
        <v>163</v>
      </c>
      <c r="E61" s="34">
        <f>500*E2+2000*E2+3000*E2</f>
        <v>137500</v>
      </c>
    </row>
    <row r="62" spans="2:5" ht="12.75">
      <c r="B62" s="176" t="s">
        <v>140</v>
      </c>
      <c r="C62" s="176"/>
      <c r="D62" s="176" t="s">
        <v>164</v>
      </c>
      <c r="E62" s="176"/>
    </row>
    <row r="63" spans="2:5" ht="12.75">
      <c r="B63" s="22" t="s">
        <v>146</v>
      </c>
      <c r="C63" s="23" t="s">
        <v>147</v>
      </c>
      <c r="D63" s="24" t="s">
        <v>148</v>
      </c>
      <c r="E63" s="25" t="s">
        <v>147</v>
      </c>
    </row>
    <row r="64" spans="2:5" ht="12.75">
      <c r="B64" s="9">
        <f>100000*E2</f>
        <v>2500000</v>
      </c>
      <c r="C64" s="10">
        <f>+B64</f>
        <v>2500000</v>
      </c>
      <c r="D64" s="11">
        <v>0.02</v>
      </c>
      <c r="E64" s="30">
        <f>+D64*C64</f>
        <v>50000</v>
      </c>
    </row>
    <row r="65" spans="2:5" ht="12.75">
      <c r="B65" s="9">
        <f>400000*E2</f>
        <v>10000000</v>
      </c>
      <c r="C65" s="10">
        <f>+C64+B65</f>
        <v>12500000</v>
      </c>
      <c r="D65" s="11">
        <v>0.015</v>
      </c>
      <c r="E65" s="30">
        <f>+(C65-C64)*D65+E64</f>
        <v>200000</v>
      </c>
    </row>
    <row r="66" spans="2:5" ht="12.75">
      <c r="B66" s="9">
        <f>500000*E2</f>
        <v>12500000</v>
      </c>
      <c r="C66" s="10">
        <f>+C65+B66</f>
        <v>25000000</v>
      </c>
      <c r="D66" s="11">
        <v>0.01</v>
      </c>
      <c r="E66" s="30">
        <f>+(C66-C65)*D66+E65</f>
        <v>325000</v>
      </c>
    </row>
    <row r="67" spans="2:5" ht="12.75">
      <c r="B67" s="9">
        <f>9000000*E2</f>
        <v>225000000</v>
      </c>
      <c r="C67" s="10">
        <f>+C66+B67</f>
        <v>250000000</v>
      </c>
      <c r="D67" s="11">
        <v>0.008</v>
      </c>
      <c r="E67" s="30">
        <f>+(C67-C66)*D67+E66</f>
        <v>2125000</v>
      </c>
    </row>
    <row r="68" spans="2:6" ht="12.75">
      <c r="B68" s="12"/>
      <c r="C68" s="13" t="s">
        <v>149</v>
      </c>
      <c r="D68" s="14">
        <v>0.005</v>
      </c>
      <c r="E68" s="35"/>
      <c r="F68" s="36"/>
    </row>
    <row r="71" spans="2:5" ht="15.75">
      <c r="B71" s="174" t="s">
        <v>165</v>
      </c>
      <c r="C71" s="174"/>
      <c r="D71" s="174"/>
      <c r="E71" s="174"/>
    </row>
    <row r="72" spans="2:5" ht="12.75">
      <c r="B72" s="177" t="s">
        <v>140</v>
      </c>
      <c r="C72" s="177"/>
      <c r="D72" s="176"/>
      <c r="E72" s="176"/>
    </row>
    <row r="73" spans="2:5" ht="12.75">
      <c r="B73" s="7" t="s">
        <v>146</v>
      </c>
      <c r="C73" s="8" t="s">
        <v>147</v>
      </c>
      <c r="D73" s="24" t="s">
        <v>148</v>
      </c>
      <c r="E73" s="25" t="s">
        <v>147</v>
      </c>
    </row>
    <row r="74" spans="2:5" ht="12.75">
      <c r="B74" s="9">
        <f>200000*E2</f>
        <v>5000000</v>
      </c>
      <c r="C74" s="10">
        <f>+B74</f>
        <v>5000000</v>
      </c>
      <c r="D74" s="11"/>
      <c r="E74" s="30">
        <v>56</v>
      </c>
    </row>
    <row r="75" spans="2:5" ht="12.75">
      <c r="B75" s="9">
        <f>800000*E2</f>
        <v>20000000</v>
      </c>
      <c r="C75" s="10">
        <f>+C74+B75</f>
        <v>25000000</v>
      </c>
      <c r="D75" s="11">
        <v>0.02</v>
      </c>
      <c r="E75" s="30">
        <f>+(C75-C74)*D75+E74</f>
        <v>400056</v>
      </c>
    </row>
    <row r="76" spans="2:5" ht="12.75">
      <c r="B76" s="9">
        <f>1000000*E2</f>
        <v>25000000</v>
      </c>
      <c r="C76" s="10">
        <f>+C75+B76</f>
        <v>50000000</v>
      </c>
      <c r="D76" s="11">
        <v>0.015</v>
      </c>
      <c r="E76" s="30">
        <f>+(C76-C75)*D76+E75</f>
        <v>775056</v>
      </c>
    </row>
    <row r="77" spans="2:5" ht="12.75">
      <c r="B77" s="9">
        <f>3000000*E2</f>
        <v>75000000</v>
      </c>
      <c r="C77" s="10">
        <f>+C76+B77</f>
        <v>125000000</v>
      </c>
      <c r="D77" s="11">
        <v>0.01</v>
      </c>
      <c r="E77" s="30">
        <f>+(C77-C76)*D77+E76</f>
        <v>1525056</v>
      </c>
    </row>
    <row r="78" spans="2:5" ht="12.75">
      <c r="B78" s="12"/>
      <c r="C78" s="13" t="s">
        <v>149</v>
      </c>
      <c r="D78" s="14">
        <v>0.005</v>
      </c>
      <c r="E78" s="26"/>
    </row>
    <row r="81" spans="2:5" ht="15.75">
      <c r="B81" s="174" t="s">
        <v>166</v>
      </c>
      <c r="C81" s="174"/>
      <c r="D81" s="174"/>
      <c r="E81" s="174"/>
    </row>
    <row r="82" spans="2:5" ht="12.75">
      <c r="B82" s="37" t="s">
        <v>167</v>
      </c>
      <c r="C82" s="178">
        <f>1000*E2</f>
        <v>25000</v>
      </c>
      <c r="D82" s="178"/>
      <c r="E82" s="38" t="s">
        <v>168</v>
      </c>
    </row>
    <row r="83" spans="2:5" ht="12.75">
      <c r="B83" s="39" t="s">
        <v>169</v>
      </c>
      <c r="C83" s="179">
        <f>2000*E2</f>
        <v>50000</v>
      </c>
      <c r="D83" s="179"/>
      <c r="E83" s="40" t="s">
        <v>168</v>
      </c>
    </row>
    <row r="84" spans="2:5" ht="12.75">
      <c r="B84" s="180" t="s">
        <v>170</v>
      </c>
      <c r="C84" s="41" t="s">
        <v>171</v>
      </c>
      <c r="D84" s="42">
        <f>3000*E2</f>
        <v>75000</v>
      </c>
      <c r="E84" s="40" t="s">
        <v>168</v>
      </c>
    </row>
    <row r="85" spans="2:5" ht="12.75">
      <c r="B85" s="180"/>
      <c r="C85" s="43" t="s">
        <v>172</v>
      </c>
      <c r="D85" s="44">
        <f>2000*E2</f>
        <v>50000</v>
      </c>
      <c r="E85" s="15" t="s">
        <v>168</v>
      </c>
    </row>
    <row r="88" spans="2:27" ht="15.75">
      <c r="B88" s="181" t="s">
        <v>173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181"/>
      <c r="C89" s="50" t="s">
        <v>174</v>
      </c>
      <c r="D89" s="18"/>
      <c r="E89" s="18"/>
      <c r="F89" s="18"/>
      <c r="G89" s="51" t="s">
        <v>175</v>
      </c>
      <c r="H89" s="52"/>
      <c r="I89" s="53" t="s">
        <v>176</v>
      </c>
      <c r="J89" s="5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54"/>
    </row>
    <row r="90" spans="2:27" ht="15.75" customHeight="1">
      <c r="B90" s="181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54"/>
    </row>
    <row r="91" spans="2:27" ht="12.75">
      <c r="B91" s="181"/>
      <c r="C91" s="55" t="s">
        <v>177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54"/>
    </row>
    <row r="122" spans="2:27" ht="12.75">
      <c r="B122" s="65"/>
      <c r="C122" s="18" t="s">
        <v>178</v>
      </c>
      <c r="D122" s="18"/>
      <c r="E122" s="56">
        <f>Z91</f>
        <v>37500000</v>
      </c>
      <c r="F122" s="18" t="s">
        <v>179</v>
      </c>
      <c r="G122" s="18"/>
      <c r="H122" s="18"/>
      <c r="I122" s="18"/>
      <c r="J122" s="55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54"/>
    </row>
    <row r="123" spans="2:27" ht="12.75">
      <c r="B123" s="66"/>
      <c r="C123" s="18" t="s">
        <v>180</v>
      </c>
      <c r="D123" s="18"/>
      <c r="E123" s="18"/>
      <c r="F123" s="67">
        <f>200*E2</f>
        <v>5000</v>
      </c>
      <c r="G123" s="18"/>
      <c r="H123" s="6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</sheetData>
  <sheetProtection password="C5B2" sheet="1"/>
  <mergeCells count="35">
    <mergeCell ref="B84:B85"/>
    <mergeCell ref="B88:B91"/>
    <mergeCell ref="B71:E71"/>
    <mergeCell ref="B72:C72"/>
    <mergeCell ref="D72:E72"/>
    <mergeCell ref="B81:E81"/>
    <mergeCell ref="C82:D82"/>
    <mergeCell ref="C83:D83"/>
    <mergeCell ref="B50:G50"/>
    <mergeCell ref="B51:C51"/>
    <mergeCell ref="D51:E51"/>
    <mergeCell ref="F51:G51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14:C14"/>
    <mergeCell ref="D14:E14"/>
    <mergeCell ref="F14:G14"/>
    <mergeCell ref="H14:I14"/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zoomScale="85" zoomScaleNormal="85" zoomScalePageLayoutView="0" workbookViewId="0" topLeftCell="A1">
      <selection activeCell="E18" sqref="E18"/>
    </sheetView>
  </sheetViews>
  <sheetFormatPr defaultColWidth="11.421875" defaultRowHeight="12.75"/>
  <cols>
    <col min="1" max="1" width="15.28125" style="2" customWidth="1"/>
    <col min="2" max="2" width="41.421875" style="2" customWidth="1"/>
    <col min="3" max="3" width="17.7109375" style="2" customWidth="1"/>
    <col min="4" max="4" width="18.00390625" style="2" customWidth="1"/>
    <col min="5" max="5" width="17.57421875" style="2" customWidth="1"/>
    <col min="6" max="6" width="17.421875" style="2" customWidth="1"/>
    <col min="7" max="7" width="15.140625" style="2" customWidth="1"/>
    <col min="8" max="8" width="31.8515625" style="2" customWidth="1"/>
    <col min="9" max="9" width="35.7109375" style="2" customWidth="1"/>
    <col min="10" max="10" width="17.140625" style="2" customWidth="1"/>
    <col min="11" max="11" width="16.8515625" style="2" customWidth="1"/>
    <col min="12" max="12" width="17.28125" style="2" customWidth="1"/>
    <col min="13" max="13" width="16.28125" style="2" customWidth="1"/>
    <col min="14" max="14" width="16.8515625" style="2" customWidth="1"/>
    <col min="15" max="17" width="11.421875" style="2" customWidth="1"/>
    <col min="18" max="18" width="17.7109375" style="2" customWidth="1"/>
    <col min="19" max="19" width="15.421875" style="2" customWidth="1"/>
    <col min="20" max="16384" width="11.421875" style="2" customWidth="1"/>
  </cols>
  <sheetData>
    <row r="1" spans="2:6" ht="12.75">
      <c r="B1" s="206" t="s">
        <v>181</v>
      </c>
      <c r="C1" s="207"/>
      <c r="D1" s="207"/>
      <c r="F1" s="206" t="s">
        <v>425</v>
      </c>
    </row>
    <row r="2" ht="12.75">
      <c r="F2" s="206" t="s">
        <v>426</v>
      </c>
    </row>
    <row r="3" spans="2:7" ht="16.5">
      <c r="B3" s="208" t="s">
        <v>182</v>
      </c>
      <c r="C3" s="208"/>
      <c r="D3" s="208"/>
      <c r="E3" s="208"/>
      <c r="F3" s="209" t="s">
        <v>183</v>
      </c>
      <c r="G3" s="210">
        <v>78.57</v>
      </c>
    </row>
    <row r="4" spans="7:14" ht="12.75">
      <c r="G4" s="211"/>
      <c r="K4" s="212" t="s">
        <v>184</v>
      </c>
      <c r="L4" s="213" t="s">
        <v>185</v>
      </c>
      <c r="M4" s="213" t="s">
        <v>186</v>
      </c>
      <c r="N4" s="213" t="s">
        <v>187</v>
      </c>
    </row>
    <row r="5" spans="2:10" ht="12.75">
      <c r="B5" s="214" t="s">
        <v>188</v>
      </c>
      <c r="C5" s="215">
        <v>500000</v>
      </c>
      <c r="D5" s="213" t="s">
        <v>185</v>
      </c>
      <c r="E5" s="213" t="s">
        <v>186</v>
      </c>
      <c r="F5" s="216" t="s">
        <v>187</v>
      </c>
      <c r="G5" s="211" t="s">
        <v>189</v>
      </c>
      <c r="J5" s="217">
        <f>ROUND(9611*C8,0)</f>
        <v>240275</v>
      </c>
    </row>
    <row r="6" spans="2:19" ht="12.75">
      <c r="B6" s="214" t="s">
        <v>190</v>
      </c>
      <c r="C6" s="218">
        <f>5000*C8</f>
        <v>125000</v>
      </c>
      <c r="E6" s="219"/>
      <c r="G6" s="211" t="s">
        <v>191</v>
      </c>
      <c r="J6" s="220"/>
      <c r="S6" s="217"/>
    </row>
    <row r="7" spans="2:19" ht="12.75">
      <c r="B7" s="80" t="s">
        <v>192</v>
      </c>
      <c r="C7" s="221">
        <v>1</v>
      </c>
      <c r="E7" s="222"/>
      <c r="G7" s="211" t="s">
        <v>193</v>
      </c>
      <c r="J7" s="217">
        <f>ROUND(34320*C8,0)</f>
        <v>858000</v>
      </c>
      <c r="K7" s="207">
        <f>A13</f>
        <v>680950</v>
      </c>
      <c r="L7" s="223">
        <f>D13</f>
        <v>68095</v>
      </c>
      <c r="M7" s="223">
        <f>L7</f>
        <v>68095</v>
      </c>
      <c r="N7" s="223">
        <f>F13</f>
        <v>40860</v>
      </c>
      <c r="O7" s="100">
        <f>K7+L7+M7+N7</f>
        <v>858000</v>
      </c>
      <c r="S7" s="217"/>
    </row>
    <row r="8" spans="2:19" ht="12.75">
      <c r="B8" s="214" t="s">
        <v>194</v>
      </c>
      <c r="C8" s="224">
        <v>25</v>
      </c>
      <c r="E8" s="222"/>
      <c r="G8" s="211" t="s">
        <v>195</v>
      </c>
      <c r="J8" s="217">
        <f>J5</f>
        <v>240275</v>
      </c>
      <c r="S8" s="217"/>
    </row>
    <row r="9" spans="2:22" ht="12.75">
      <c r="B9" s="2" t="s">
        <v>196</v>
      </c>
      <c r="C9" s="225"/>
      <c r="E9" s="222"/>
      <c r="G9" s="211" t="s">
        <v>197</v>
      </c>
      <c r="J9" s="217">
        <f>ROUND(J5*1.4244,0)</f>
        <v>342248</v>
      </c>
      <c r="N9" s="80"/>
      <c r="S9" s="226"/>
      <c r="U9" s="86"/>
      <c r="V9" s="86"/>
    </row>
    <row r="10" spans="2:19" ht="12.75">
      <c r="B10" s="2" t="s">
        <v>198</v>
      </c>
      <c r="C10" s="227">
        <f>ROUND((C6*76)/10000,0)</f>
        <v>950</v>
      </c>
      <c r="E10" s="228"/>
      <c r="G10" s="211" t="s">
        <v>199</v>
      </c>
      <c r="J10" s="217">
        <f>ROUND(6540*C8,0)</f>
        <v>163500</v>
      </c>
      <c r="N10" s="80"/>
      <c r="S10" s="86"/>
    </row>
    <row r="11" spans="2:19" ht="12.75">
      <c r="B11" s="2" t="s">
        <v>200</v>
      </c>
      <c r="C11" s="217"/>
      <c r="E11" s="219"/>
      <c r="G11" s="211" t="s">
        <v>201</v>
      </c>
      <c r="J11" s="217">
        <f>ROUND(16343*C8,0)</f>
        <v>408575</v>
      </c>
      <c r="N11" s="80"/>
      <c r="S11" s="86"/>
    </row>
    <row r="12" spans="2:10" ht="12.75">
      <c r="B12" s="2" t="s">
        <v>202</v>
      </c>
      <c r="C12" s="217">
        <f>9120*C8</f>
        <v>228000</v>
      </c>
      <c r="E12" s="219"/>
      <c r="G12" s="211" t="s">
        <v>203</v>
      </c>
      <c r="J12" s="217">
        <f>ROUND(6863*C8,0)</f>
        <v>171575</v>
      </c>
    </row>
    <row r="13" spans="1:10" ht="12.75">
      <c r="A13" s="207">
        <v>680950</v>
      </c>
      <c r="B13" s="2" t="s">
        <v>204</v>
      </c>
      <c r="C13" s="217">
        <f>34320*C8</f>
        <v>858000</v>
      </c>
      <c r="D13" s="223">
        <v>68095</v>
      </c>
      <c r="E13" s="223">
        <v>68095</v>
      </c>
      <c r="F13" s="223">
        <v>40860</v>
      </c>
      <c r="G13" s="211" t="s">
        <v>205</v>
      </c>
      <c r="J13" s="217">
        <f>ROUND(8554*C8,0)</f>
        <v>213850</v>
      </c>
    </row>
    <row r="14" spans="1:17" ht="12.75">
      <c r="A14" s="207">
        <v>476764</v>
      </c>
      <c r="B14" s="2" t="s">
        <v>206</v>
      </c>
      <c r="C14" s="217">
        <f>ROUND(24029*C8,0)</f>
        <v>600725</v>
      </c>
      <c r="D14" s="223">
        <v>47676</v>
      </c>
      <c r="E14" s="223">
        <v>47676</v>
      </c>
      <c r="F14" s="223">
        <v>28609</v>
      </c>
      <c r="G14" s="211" t="s">
        <v>207</v>
      </c>
      <c r="J14" s="217">
        <f>C6</f>
        <v>125000</v>
      </c>
      <c r="N14" s="82"/>
      <c r="O14" s="82"/>
      <c r="P14" s="82"/>
      <c r="Q14" s="82"/>
    </row>
    <row r="15" spans="1:20" ht="12.75">
      <c r="A15" s="207">
        <v>544920</v>
      </c>
      <c r="B15" s="2" t="s">
        <v>208</v>
      </c>
      <c r="C15" s="217">
        <f>ROUND(27464*C8,0)</f>
        <v>686600</v>
      </c>
      <c r="D15" s="223">
        <v>54492</v>
      </c>
      <c r="E15" s="223">
        <v>54492</v>
      </c>
      <c r="F15" s="223">
        <v>32696</v>
      </c>
      <c r="G15" s="211" t="s">
        <v>209</v>
      </c>
      <c r="J15" s="217">
        <f>ROUND(720*C8,0)</f>
        <v>18000</v>
      </c>
      <c r="N15" s="75"/>
      <c r="O15" s="75"/>
      <c r="P15" s="229"/>
      <c r="Q15" s="75"/>
      <c r="R15" s="230"/>
      <c r="S15" s="231"/>
      <c r="T15" s="230"/>
    </row>
    <row r="16" spans="2:20" ht="12.75">
      <c r="B16" s="2" t="s">
        <v>210</v>
      </c>
      <c r="C16" s="217">
        <f>K57</f>
        <v>12000</v>
      </c>
      <c r="E16" s="219"/>
      <c r="G16" s="211" t="s">
        <v>211</v>
      </c>
      <c r="J16" s="217">
        <f>ROUND(26149*C8,0)</f>
        <v>653725</v>
      </c>
      <c r="K16" s="207">
        <v>544771</v>
      </c>
      <c r="L16" s="223">
        <v>54477</v>
      </c>
      <c r="M16" s="223">
        <v>54477</v>
      </c>
      <c r="N16" s="75">
        <f>K16+L16+M16</f>
        <v>653725</v>
      </c>
      <c r="O16" s="75"/>
      <c r="P16" s="229"/>
      <c r="Q16" s="75"/>
      <c r="R16" s="232"/>
      <c r="S16" s="231"/>
      <c r="T16" s="230"/>
    </row>
    <row r="17" spans="2:20" ht="12.75">
      <c r="B17" s="2" t="s">
        <v>212</v>
      </c>
      <c r="C17" s="217">
        <f>14000*C8</f>
        <v>350000</v>
      </c>
      <c r="D17" s="2" t="s">
        <v>213</v>
      </c>
      <c r="E17" s="219"/>
      <c r="G17" s="233" t="s">
        <v>214</v>
      </c>
      <c r="J17" s="217">
        <f>ROUND(16342.3*C8,0)</f>
        <v>408558</v>
      </c>
      <c r="N17" s="75"/>
      <c r="O17" s="75"/>
      <c r="P17" s="229"/>
      <c r="Q17" s="75"/>
      <c r="R17" s="232"/>
      <c r="S17" s="231"/>
      <c r="T17" s="230"/>
    </row>
    <row r="18" spans="2:20" ht="12.75">
      <c r="B18" s="2" t="s">
        <v>215</v>
      </c>
      <c r="C18" s="217">
        <f>10000*C8</f>
        <v>250000</v>
      </c>
      <c r="G18" s="234" t="s">
        <v>427</v>
      </c>
      <c r="H18" s="235"/>
      <c r="I18" s="235"/>
      <c r="J18" s="217">
        <f>ROUND(19223*C8,0)</f>
        <v>480575</v>
      </c>
      <c r="K18" s="236">
        <v>381410</v>
      </c>
      <c r="L18" s="236">
        <v>38141</v>
      </c>
      <c r="M18" s="236">
        <v>38141</v>
      </c>
      <c r="N18" s="237">
        <v>22883</v>
      </c>
      <c r="O18" s="75">
        <f>K18+L18+M18+N18</f>
        <v>480575</v>
      </c>
      <c r="P18" s="229"/>
      <c r="Q18" s="75"/>
      <c r="R18" s="232"/>
      <c r="S18" s="231"/>
      <c r="T18" s="230"/>
    </row>
    <row r="19" spans="2:20" ht="12.75">
      <c r="B19" s="2" t="s">
        <v>216</v>
      </c>
      <c r="C19" s="217">
        <f>16000*C8</f>
        <v>400000</v>
      </c>
      <c r="G19" s="211" t="s">
        <v>217</v>
      </c>
      <c r="I19" s="238" t="s">
        <v>218</v>
      </c>
      <c r="J19" s="239">
        <f>ROUND(16676*C8,0)</f>
        <v>416900</v>
      </c>
      <c r="K19" s="240"/>
      <c r="N19" s="75"/>
      <c r="O19" s="75"/>
      <c r="P19" s="229"/>
      <c r="Q19" s="75"/>
      <c r="R19" s="232"/>
      <c r="S19" s="231"/>
      <c r="T19" s="230"/>
    </row>
    <row r="20" spans="2:17" ht="12.75">
      <c r="B20" s="2" t="s">
        <v>219</v>
      </c>
      <c r="C20" s="217">
        <f>C5*0.36</f>
        <v>180000</v>
      </c>
      <c r="E20" s="219"/>
      <c r="G20" s="233" t="s">
        <v>220</v>
      </c>
      <c r="H20" s="241">
        <f>J20-J19</f>
        <v>416900</v>
      </c>
      <c r="I20" s="238" t="s">
        <v>218</v>
      </c>
      <c r="J20" s="242">
        <f>J19*2</f>
        <v>833800</v>
      </c>
      <c r="K20" s="243"/>
      <c r="N20" s="75"/>
      <c r="O20" s="75"/>
      <c r="P20" s="229"/>
      <c r="Q20" s="75"/>
    </row>
    <row r="21" spans="2:17" ht="12.75">
      <c r="B21" s="2" t="s">
        <v>221</v>
      </c>
      <c r="C21" s="217">
        <f>C5*0.08</f>
        <v>40000</v>
      </c>
      <c r="E21" s="219"/>
      <c r="G21" s="233" t="s">
        <v>220</v>
      </c>
      <c r="H21" s="241">
        <f>ROUND(10810.68*C8,0)</f>
        <v>270267</v>
      </c>
      <c r="I21" s="238" t="s">
        <v>218</v>
      </c>
      <c r="J21" s="242">
        <f>J20+H21</f>
        <v>1104067</v>
      </c>
      <c r="K21" s="243"/>
      <c r="O21" s="82"/>
      <c r="P21" s="229"/>
      <c r="Q21" s="244"/>
    </row>
    <row r="22" spans="2:11" ht="12.75">
      <c r="B22" s="2" t="s">
        <v>222</v>
      </c>
      <c r="C22" s="217">
        <f>ROUND(6934.5*C8,0)</f>
        <v>173363</v>
      </c>
      <c r="E22" s="219"/>
      <c r="G22" s="233" t="s">
        <v>220</v>
      </c>
      <c r="H22" s="241">
        <f>ROUND(22570.68*C8,0)</f>
        <v>564267</v>
      </c>
      <c r="I22" s="238" t="s">
        <v>218</v>
      </c>
      <c r="J22" s="242">
        <f>J21+H22</f>
        <v>1668334</v>
      </c>
      <c r="K22" s="243"/>
    </row>
    <row r="23" spans="2:11" ht="12.75">
      <c r="B23" s="2" t="s">
        <v>223</v>
      </c>
      <c r="C23" s="219"/>
      <c r="E23" s="219"/>
      <c r="G23" s="233" t="s">
        <v>220</v>
      </c>
      <c r="H23" s="241">
        <f>ROUND(16671.7*C8,0)</f>
        <v>416793</v>
      </c>
      <c r="I23" s="238" t="s">
        <v>218</v>
      </c>
      <c r="J23" s="242">
        <f>J22+H23</f>
        <v>2085127</v>
      </c>
      <c r="K23" s="245"/>
    </row>
    <row r="24" spans="2:12" ht="12.75">
      <c r="B24" s="2" t="s">
        <v>224</v>
      </c>
      <c r="C24" s="246">
        <v>476766</v>
      </c>
      <c r="E24" s="247"/>
      <c r="G24" s="211"/>
      <c r="H24" s="241"/>
      <c r="K24" s="2" t="s">
        <v>148</v>
      </c>
      <c r="L24" s="2" t="s">
        <v>225</v>
      </c>
    </row>
    <row r="25" spans="1:12" ht="12.75">
      <c r="A25" s="207">
        <v>381443</v>
      </c>
      <c r="B25" s="80" t="s">
        <v>428</v>
      </c>
      <c r="C25" s="217">
        <f>ROUND(19224.8*C8,0)</f>
        <v>480620</v>
      </c>
      <c r="D25" s="207">
        <v>38144</v>
      </c>
      <c r="E25" s="248">
        <v>38144</v>
      </c>
      <c r="F25" s="207">
        <v>22889</v>
      </c>
      <c r="G25" s="233" t="s">
        <v>226</v>
      </c>
      <c r="I25" s="238" t="s">
        <v>227</v>
      </c>
      <c r="J25" s="249">
        <f>125000*C8</f>
        <v>3125000</v>
      </c>
      <c r="K25" s="2">
        <v>2</v>
      </c>
      <c r="L25" s="249">
        <f>J25*K25%</f>
        <v>62500</v>
      </c>
    </row>
    <row r="26" spans="3:12" ht="12.75">
      <c r="C26" s="219"/>
      <c r="E26" s="219"/>
      <c r="G26" s="211"/>
      <c r="I26" s="238" t="s">
        <v>218</v>
      </c>
      <c r="J26" s="249">
        <f>500000*C8</f>
        <v>12500000</v>
      </c>
      <c r="K26" s="2">
        <v>1.5</v>
      </c>
      <c r="L26" s="249">
        <f>ROUNDDOWN((J26-J25)*K26%+L25,0)</f>
        <v>203125</v>
      </c>
    </row>
    <row r="27" spans="2:12" ht="12.75">
      <c r="B27" s="2" t="s">
        <v>228</v>
      </c>
      <c r="C27" s="250"/>
      <c r="E27" s="219"/>
      <c r="G27" s="211"/>
      <c r="I27" s="238" t="s">
        <v>218</v>
      </c>
      <c r="J27" s="249">
        <f>1000000*C8</f>
        <v>25000000</v>
      </c>
      <c r="K27" s="2">
        <v>1</v>
      </c>
      <c r="L27" s="249">
        <f>(J27-J26)*K27%+L26</f>
        <v>328125</v>
      </c>
    </row>
    <row r="28" spans="7:12" ht="12.75">
      <c r="G28" s="211"/>
      <c r="I28" s="238" t="s">
        <v>218</v>
      </c>
      <c r="J28" s="249">
        <f>2000000*C8</f>
        <v>50000000</v>
      </c>
      <c r="K28" s="2">
        <v>0.6</v>
      </c>
      <c r="L28" s="249">
        <f>(J28-J27)*K28%+L27</f>
        <v>478125</v>
      </c>
    </row>
    <row r="29" spans="7:12" ht="12.75">
      <c r="G29" s="211"/>
      <c r="I29" s="238" t="s">
        <v>218</v>
      </c>
      <c r="J29" s="249">
        <f>4000000*C8</f>
        <v>100000000</v>
      </c>
      <c r="K29" s="2">
        <v>0.4</v>
      </c>
      <c r="L29" s="249">
        <f>(J29-J28)*K29%+L28</f>
        <v>678125</v>
      </c>
    </row>
    <row r="30" spans="7:12" ht="12.75">
      <c r="G30" s="211"/>
      <c r="I30" s="238" t="s">
        <v>218</v>
      </c>
      <c r="J30" s="249">
        <f>7500000*C8</f>
        <v>187500000</v>
      </c>
      <c r="K30" s="2">
        <v>0.2</v>
      </c>
      <c r="L30" s="249">
        <f>(J30-J29)*K30%+L29</f>
        <v>853125</v>
      </c>
    </row>
    <row r="31" spans="2:11" ht="12.75">
      <c r="B31" s="2" t="s">
        <v>229</v>
      </c>
      <c r="G31" s="211"/>
      <c r="I31" s="2" t="s">
        <v>146</v>
      </c>
      <c r="K31" s="2">
        <v>0.1</v>
      </c>
    </row>
    <row r="32" spans="2:10" ht="12.75" customHeight="1">
      <c r="B32" s="2" t="s">
        <v>146</v>
      </c>
      <c r="G32" s="233" t="s">
        <v>230</v>
      </c>
      <c r="I32" s="251">
        <f>37310*(C8/0.36)</f>
        <v>2590972.222222222</v>
      </c>
      <c r="J32" s="252"/>
    </row>
    <row r="33" spans="2:10" ht="12.75">
      <c r="B33" s="249">
        <f>200000*C8</f>
        <v>5000000</v>
      </c>
      <c r="I33" s="251">
        <f>55972*(C8/0.36)</f>
        <v>3886944.4444444445</v>
      </c>
      <c r="J33" s="253"/>
    </row>
    <row r="34" spans="2:10" ht="12.75">
      <c r="B34" s="249">
        <f>(1000000-200000)*C8</f>
        <v>20000000</v>
      </c>
      <c r="I34" s="251">
        <f>93286*(C8/0.36)</f>
        <v>6478194.444444444</v>
      </c>
      <c r="J34" s="253"/>
    </row>
    <row r="35" spans="2:10" ht="12.75">
      <c r="B35" s="249">
        <f>(2000000-1000000)*C8</f>
        <v>25000000</v>
      </c>
      <c r="I35" s="251">
        <f>186580*(C8/0.36)</f>
        <v>12956944.444444444</v>
      </c>
      <c r="J35" s="253"/>
    </row>
    <row r="36" spans="2:10" ht="12.75">
      <c r="B36" s="249">
        <f>(5000000-2000000)*C8</f>
        <v>75000000</v>
      </c>
      <c r="I36" s="251">
        <f>558090*(C8/0.36)</f>
        <v>38756250</v>
      </c>
      <c r="J36" s="253"/>
    </row>
    <row r="37" spans="9:10" ht="12.75">
      <c r="I37" s="251">
        <f>931215*(C8/0.36)</f>
        <v>64667708.33333333</v>
      </c>
      <c r="J37" s="253"/>
    </row>
    <row r="38" spans="2:10" ht="12.75">
      <c r="B38" s="2" t="s">
        <v>231</v>
      </c>
      <c r="I38" s="251">
        <f>1868989*(C8/0.36)</f>
        <v>129790902.77777778</v>
      </c>
      <c r="J38" s="253"/>
    </row>
    <row r="39" spans="2:10" ht="12.75">
      <c r="B39" s="2" t="s">
        <v>146</v>
      </c>
      <c r="I39" s="251">
        <f>3718378*(C8/0.36)</f>
        <v>258220694.44444445</v>
      </c>
      <c r="J39" s="253"/>
    </row>
    <row r="40" spans="2:10" ht="12.75">
      <c r="B40" s="249">
        <f>200000*C8</f>
        <v>5000000</v>
      </c>
      <c r="I40" s="251">
        <f>7449822*(C8/0.36)</f>
        <v>517348750</v>
      </c>
      <c r="J40" s="253"/>
    </row>
    <row r="41" spans="2:10" ht="12.75">
      <c r="B41" s="249">
        <f>(1000000-200000)*C8</f>
        <v>20000000</v>
      </c>
      <c r="I41" s="251">
        <f>14899636*(C8/0.36)</f>
        <v>1034696944.4444444</v>
      </c>
      <c r="J41" s="253"/>
    </row>
    <row r="42" spans="2:10" ht="12.75">
      <c r="B42" s="249">
        <f>(2000000-1000000)*C8</f>
        <v>25000000</v>
      </c>
      <c r="I42" s="251">
        <f>29799278*(C8/0.36)</f>
        <v>2069394305.5555556</v>
      </c>
      <c r="J42" s="253"/>
    </row>
    <row r="43" spans="2:10" ht="12.75">
      <c r="B43" s="249">
        <f>(5000000-2000000)*C8</f>
        <v>75000000</v>
      </c>
      <c r="I43" s="251">
        <f>59598560*(C8/0.36)</f>
        <v>4138788888.888889</v>
      </c>
      <c r="J43" s="253"/>
    </row>
    <row r="44" spans="6:10" ht="12.75">
      <c r="F44" s="254" t="s">
        <v>232</v>
      </c>
      <c r="G44" s="255"/>
      <c r="I44" s="251">
        <f>119197121*(C8/0.36)</f>
        <v>8277577847.222222</v>
      </c>
      <c r="J44" s="253"/>
    </row>
    <row r="45" spans="6:10" ht="12.75">
      <c r="F45" s="256"/>
      <c r="G45" s="257"/>
      <c r="I45" s="251">
        <f>238394228*(C8/0.36)</f>
        <v>16555154722.222221</v>
      </c>
      <c r="J45" s="253"/>
    </row>
    <row r="46" spans="2:10" ht="12.75">
      <c r="B46" s="80" t="s">
        <v>233</v>
      </c>
      <c r="C46" s="258">
        <v>1</v>
      </c>
      <c r="F46" s="259">
        <f>C48</f>
        <v>203958</v>
      </c>
      <c r="G46" s="260">
        <f>F46</f>
        <v>203958</v>
      </c>
      <c r="I46" s="251">
        <f>476788468*(C8/0.36)</f>
        <v>33110310277.77778</v>
      </c>
      <c r="J46" s="261"/>
    </row>
    <row r="47" spans="2:7" ht="12.75">
      <c r="B47" s="80" t="s">
        <v>234</v>
      </c>
      <c r="C47" s="219">
        <f>ROUND(6540*C8,0)</f>
        <v>163500</v>
      </c>
      <c r="D47" s="262"/>
      <c r="F47" s="263">
        <f>(C51*E51%)/10</f>
        <v>24700.000000000004</v>
      </c>
      <c r="G47" s="264">
        <f>G46+F47</f>
        <v>228658</v>
      </c>
    </row>
    <row r="48" spans="2:7" ht="12.75">
      <c r="B48" s="80" t="s">
        <v>235</v>
      </c>
      <c r="C48" s="219">
        <f>ROUND(8158.3*C8,0)</f>
        <v>203958</v>
      </c>
      <c r="D48" s="265"/>
      <c r="F48" s="266">
        <f>(C52*E52%)/10</f>
        <v>48000</v>
      </c>
      <c r="G48" s="267">
        <f>G47+F48</f>
        <v>276658</v>
      </c>
    </row>
    <row r="49" ht="12.75">
      <c r="E49" s="78" t="s">
        <v>236</v>
      </c>
    </row>
    <row r="50" spans="2:10" ht="12.75">
      <c r="B50" s="268" t="s">
        <v>237</v>
      </c>
      <c r="C50" s="269">
        <v>1000000</v>
      </c>
      <c r="D50" s="270">
        <f>C50</f>
        <v>1000000</v>
      </c>
      <c r="E50" s="271"/>
      <c r="F50" s="270">
        <f>C47</f>
        <v>163500</v>
      </c>
      <c r="G50" s="272">
        <f>F50</f>
        <v>163500</v>
      </c>
      <c r="I50" s="80" t="s">
        <v>238</v>
      </c>
      <c r="J50" s="251">
        <f>ROUND(7500*C8,0)</f>
        <v>187500</v>
      </c>
    </row>
    <row r="51" spans="2:10" ht="12.75">
      <c r="B51" s="273"/>
      <c r="C51" s="263">
        <f>D51-D50</f>
        <v>19000000</v>
      </c>
      <c r="D51" s="274">
        <v>20000000</v>
      </c>
      <c r="E51" s="82">
        <v>1.3</v>
      </c>
      <c r="F51" s="275">
        <f>(C51*E51%)/10</f>
        <v>24700.000000000004</v>
      </c>
      <c r="G51" s="276">
        <f>G50+F51</f>
        <v>188200</v>
      </c>
      <c r="J51" s="251">
        <f>ROUND(12500*C8,0)</f>
        <v>312500</v>
      </c>
    </row>
    <row r="52" spans="2:10" ht="12.75">
      <c r="B52" s="256"/>
      <c r="C52" s="263">
        <f>D52-D51</f>
        <v>80000000</v>
      </c>
      <c r="D52" s="274">
        <v>100000000</v>
      </c>
      <c r="E52" s="82">
        <v>0.6</v>
      </c>
      <c r="F52" s="275">
        <f>(C52*E52%)/10</f>
        <v>48000</v>
      </c>
      <c r="G52" s="276">
        <f>G51+F52</f>
        <v>236200</v>
      </c>
      <c r="J52" s="251">
        <f>ROUND(18750*C8,0)</f>
        <v>468750</v>
      </c>
    </row>
    <row r="53" spans="3:7" ht="12.75">
      <c r="C53" s="277"/>
      <c r="D53" s="235"/>
      <c r="E53" s="278">
        <v>0.3</v>
      </c>
      <c r="F53" s="235"/>
      <c r="G53" s="279"/>
    </row>
    <row r="54" spans="5:13" ht="12.75">
      <c r="E54" s="81" t="s">
        <v>148</v>
      </c>
      <c r="L54" s="80"/>
      <c r="M54" s="80"/>
    </row>
    <row r="55" spans="2:13" ht="12.75">
      <c r="B55" s="280" t="s">
        <v>239</v>
      </c>
      <c r="C55" s="274">
        <v>120000</v>
      </c>
      <c r="D55" s="275">
        <f>C55</f>
        <v>120000</v>
      </c>
      <c r="E55" s="82"/>
      <c r="F55" s="275">
        <f>F50</f>
        <v>163500</v>
      </c>
      <c r="G55" s="275">
        <f>F55</f>
        <v>163500</v>
      </c>
      <c r="I55" s="80" t="s">
        <v>240</v>
      </c>
      <c r="L55" s="80"/>
      <c r="M55" s="80"/>
    </row>
    <row r="56" spans="2:14" ht="25.5">
      <c r="B56" s="281"/>
      <c r="C56" s="275">
        <f>D56-D55</f>
        <v>380000</v>
      </c>
      <c r="D56" s="274">
        <v>500000</v>
      </c>
      <c r="E56" s="82">
        <v>0.5</v>
      </c>
      <c r="F56" s="275">
        <f>C56*E56%</f>
        <v>1900</v>
      </c>
      <c r="G56" s="275">
        <f>G55+F56</f>
        <v>165400</v>
      </c>
      <c r="I56" s="80" t="s">
        <v>241</v>
      </c>
      <c r="J56" s="83" t="s">
        <v>242</v>
      </c>
      <c r="K56" s="84" t="s">
        <v>243</v>
      </c>
      <c r="L56" s="84"/>
      <c r="M56" s="84"/>
      <c r="N56" s="80"/>
    </row>
    <row r="57" spans="2:12" ht="14.25">
      <c r="B57" s="281"/>
      <c r="C57" s="275">
        <f>D57-D56</f>
        <v>500000</v>
      </c>
      <c r="D57" s="274">
        <v>1000000</v>
      </c>
      <c r="E57" s="82">
        <v>0.4</v>
      </c>
      <c r="F57" s="275">
        <f>C57*E57%</f>
        <v>2000</v>
      </c>
      <c r="G57" s="275">
        <f>G56+F57</f>
        <v>167400</v>
      </c>
      <c r="J57" s="80" t="s">
        <v>244</v>
      </c>
      <c r="K57" s="282">
        <v>12000</v>
      </c>
      <c r="L57" s="283">
        <f>477.647058823529*C8</f>
        <v>11941.176470588225</v>
      </c>
    </row>
    <row r="58" spans="2:18" ht="14.25">
      <c r="B58" s="281"/>
      <c r="C58" s="275">
        <f>D58-D57</f>
        <v>1000000</v>
      </c>
      <c r="D58" s="274">
        <v>2000000</v>
      </c>
      <c r="E58" s="82">
        <v>0.3</v>
      </c>
      <c r="F58" s="275">
        <f>C58*E58%</f>
        <v>3000</v>
      </c>
      <c r="G58" s="275">
        <f>G57+F58</f>
        <v>170400</v>
      </c>
      <c r="I58" s="2">
        <v>176</v>
      </c>
      <c r="J58" s="80" t="s">
        <v>245</v>
      </c>
      <c r="K58" s="282">
        <f>ROUNDDOWN((88235.2941176471*C8),0)</f>
        <v>2205882</v>
      </c>
      <c r="L58" s="283">
        <f>88235.2941176471*C8</f>
        <v>2205882.352941178</v>
      </c>
      <c r="M58" s="284"/>
      <c r="N58" s="80"/>
      <c r="P58" s="284"/>
      <c r="R58" s="284"/>
    </row>
    <row r="59" spans="2:18" ht="14.25">
      <c r="B59" s="285"/>
      <c r="C59" s="275">
        <f>D59-D58</f>
        <v>2000000</v>
      </c>
      <c r="D59" s="274">
        <v>4000000</v>
      </c>
      <c r="E59" s="82">
        <v>0.2</v>
      </c>
      <c r="F59" s="275">
        <f>C59*E59%</f>
        <v>4000</v>
      </c>
      <c r="G59" s="275">
        <f>G58+F59</f>
        <v>174400</v>
      </c>
      <c r="I59" s="2">
        <v>176</v>
      </c>
      <c r="J59" s="80" t="s">
        <v>246</v>
      </c>
      <c r="K59" s="282">
        <f>ROUNDDOWN((102941.176470588*C8),0)</f>
        <v>2573529</v>
      </c>
      <c r="L59" s="283">
        <f>102941.176470588*C8</f>
        <v>2573529.4117647</v>
      </c>
      <c r="M59" s="284"/>
      <c r="N59" s="80"/>
      <c r="P59" s="284"/>
      <c r="R59" s="284"/>
    </row>
    <row r="60" spans="2:18" ht="14.25">
      <c r="B60" s="286"/>
      <c r="C60" s="275"/>
      <c r="D60" s="275"/>
      <c r="E60" s="82">
        <v>0.1</v>
      </c>
      <c r="F60" s="275"/>
      <c r="G60" s="275"/>
      <c r="I60" s="2">
        <v>176</v>
      </c>
      <c r="J60" s="80" t="s">
        <v>247</v>
      </c>
      <c r="K60" s="282">
        <f>ROUNDUP((117647.058823529*C8),0)</f>
        <v>2941177</v>
      </c>
      <c r="L60" s="283">
        <f>117647.058823529*C8</f>
        <v>2941176.470588225</v>
      </c>
      <c r="M60" s="284"/>
      <c r="N60" s="80"/>
      <c r="P60" s="284"/>
      <c r="R60" s="284"/>
    </row>
    <row r="61" spans="2:18" ht="14.25">
      <c r="B61" s="287" t="s">
        <v>248</v>
      </c>
      <c r="E61" s="287" t="s">
        <v>249</v>
      </c>
      <c r="F61" s="219"/>
      <c r="I61" s="2">
        <v>176</v>
      </c>
      <c r="J61" s="80" t="s">
        <v>250</v>
      </c>
      <c r="K61" s="282">
        <f>ROUNDUP((147058.823529412*C8),0)</f>
        <v>3676471</v>
      </c>
      <c r="L61" s="283">
        <f>147058.823529412*C8</f>
        <v>3676470.5882353</v>
      </c>
      <c r="M61" s="284"/>
      <c r="N61" s="80"/>
      <c r="P61" s="284"/>
      <c r="R61" s="284"/>
    </row>
    <row r="62" spans="2:18" ht="14.25">
      <c r="B62" s="288" t="s">
        <v>251</v>
      </c>
      <c r="C62" s="219">
        <f>C47</f>
        <v>163500</v>
      </c>
      <c r="E62" s="288" t="s">
        <v>251</v>
      </c>
      <c r="F62" s="219">
        <f>C48</f>
        <v>203958</v>
      </c>
      <c r="I62" s="2">
        <v>176</v>
      </c>
      <c r="J62" s="80" t="s">
        <v>252</v>
      </c>
      <c r="K62" s="282">
        <f>ROUNDUP((161764.705882353*C8),0)</f>
        <v>4044118</v>
      </c>
      <c r="L62" s="283">
        <f>161764.705882353*C8</f>
        <v>4044117.647058825</v>
      </c>
      <c r="M62" s="284"/>
      <c r="N62" s="80"/>
      <c r="P62" s="284"/>
      <c r="R62" s="284"/>
    </row>
    <row r="63" spans="2:18" ht="14.25">
      <c r="B63" s="288" t="s">
        <v>429</v>
      </c>
      <c r="C63" s="219">
        <f>ROUND(C62*1.5,0)</f>
        <v>245250</v>
      </c>
      <c r="E63" s="288" t="s">
        <v>429</v>
      </c>
      <c r="F63" s="219">
        <f>ROUND(F62*1.5,0)</f>
        <v>305937</v>
      </c>
      <c r="I63" s="2">
        <v>176</v>
      </c>
      <c r="J63" s="80" t="s">
        <v>253</v>
      </c>
      <c r="K63" s="282">
        <f>ROUNDUP((176470.588235294*C8),0)</f>
        <v>4411765</v>
      </c>
      <c r="L63" s="283">
        <f>176470.588235294*C8</f>
        <v>4411764.70588235</v>
      </c>
      <c r="M63" s="284"/>
      <c r="N63" s="80"/>
      <c r="P63" s="284"/>
      <c r="R63" s="284"/>
    </row>
    <row r="64" spans="2:18" ht="14.25">
      <c r="B64" s="288" t="s">
        <v>430</v>
      </c>
      <c r="C64" s="219">
        <f>ROUND(C63*1.2,0)</f>
        <v>294300</v>
      </c>
      <c r="E64" s="288" t="s">
        <v>430</v>
      </c>
      <c r="F64" s="219">
        <f>ROUND(F63*1.2,0)+1</f>
        <v>367125</v>
      </c>
      <c r="I64" s="2">
        <v>176</v>
      </c>
      <c r="J64" s="80" t="s">
        <v>254</v>
      </c>
      <c r="K64" s="282">
        <f>ROUNDUP((191176.470588235*C8),0)</f>
        <v>4779412</v>
      </c>
      <c r="L64" s="283">
        <f>191176.470588235*C8</f>
        <v>4779411.764705875</v>
      </c>
      <c r="M64" s="284"/>
      <c r="N64" s="80"/>
      <c r="P64" s="284"/>
      <c r="R64" s="284"/>
    </row>
    <row r="65" spans="2:18" ht="14.25">
      <c r="B65" s="288" t="s">
        <v>431</v>
      </c>
      <c r="C65" s="219">
        <f>ROUND(C64*1.2,0)</f>
        <v>353160</v>
      </c>
      <c r="E65" s="288" t="s">
        <v>431</v>
      </c>
      <c r="F65" s="219">
        <f>ROUND(F64*1.2,0)</f>
        <v>440550</v>
      </c>
      <c r="I65" s="2">
        <v>176</v>
      </c>
      <c r="J65" s="80" t="s">
        <v>255</v>
      </c>
      <c r="K65" s="282">
        <f>ROUNDUP((205882.352941176*C8),0)</f>
        <v>5147059</v>
      </c>
      <c r="L65" s="283">
        <f>205882.352941176*C8</f>
        <v>5147058.8235294</v>
      </c>
      <c r="M65" s="284"/>
      <c r="N65" s="80"/>
      <c r="P65" s="284"/>
      <c r="R65" s="284"/>
    </row>
    <row r="66" spans="2:18" ht="14.25">
      <c r="B66" s="288" t="s">
        <v>432</v>
      </c>
      <c r="C66" s="219">
        <f>ROUND(C65*1.2,0)</f>
        <v>423792</v>
      </c>
      <c r="E66" s="288" t="s">
        <v>432</v>
      </c>
      <c r="F66" s="219">
        <f>ROUND(F65*1.2,0)</f>
        <v>528660</v>
      </c>
      <c r="I66" s="2">
        <v>176</v>
      </c>
      <c r="J66" s="80" t="s">
        <v>256</v>
      </c>
      <c r="K66" s="282">
        <f>ROUNDUP((220588.235294118*C8),0)</f>
        <v>5514706</v>
      </c>
      <c r="L66" s="283">
        <f>220588.235294118*C8</f>
        <v>5514705.88235295</v>
      </c>
      <c r="M66" s="284"/>
      <c r="N66" s="80"/>
      <c r="P66" s="284"/>
      <c r="R66" s="284"/>
    </row>
    <row r="67" spans="2:18" ht="14.25">
      <c r="B67" s="288" t="s">
        <v>433</v>
      </c>
      <c r="C67" s="219">
        <f>ROUND(C66*1.15,0)</f>
        <v>487361</v>
      </c>
      <c r="E67" s="288" t="s">
        <v>433</v>
      </c>
      <c r="F67" s="219">
        <f>ROUND(F66*1.15,0)</f>
        <v>607959</v>
      </c>
      <c r="I67" s="2">
        <v>176</v>
      </c>
      <c r="J67" s="80" t="s">
        <v>257</v>
      </c>
      <c r="K67" s="282">
        <f>ROUNDUP((235294.117647059*C8),0)</f>
        <v>5882353</v>
      </c>
      <c r="L67" s="283">
        <f>235294.117647059*C8</f>
        <v>5882352.941176475</v>
      </c>
      <c r="M67" s="284"/>
      <c r="N67" s="80"/>
      <c r="P67" s="284"/>
      <c r="R67" s="284"/>
    </row>
    <row r="68" spans="2:18" ht="14.25">
      <c r="B68" s="288" t="s">
        <v>434</v>
      </c>
      <c r="C68" s="219">
        <f>ROUND(C67*1.1,0)</f>
        <v>536097</v>
      </c>
      <c r="E68" s="288" t="s">
        <v>434</v>
      </c>
      <c r="F68" s="219">
        <f>ROUND(F67*1.1,0)</f>
        <v>668755</v>
      </c>
      <c r="I68" s="2">
        <v>176</v>
      </c>
      <c r="J68" s="80" t="s">
        <v>258</v>
      </c>
      <c r="K68" s="282">
        <f>ROUNDUP((247058.823529412*C8),0)</f>
        <v>6176471</v>
      </c>
      <c r="L68" s="283">
        <f>247058.823529412*C8</f>
        <v>6176470.5882353</v>
      </c>
      <c r="M68" s="284"/>
      <c r="N68" s="80"/>
      <c r="P68" s="284"/>
      <c r="R68" s="284"/>
    </row>
    <row r="69" spans="2:18" ht="14.25">
      <c r="B69" s="288" t="s">
        <v>435</v>
      </c>
      <c r="C69" s="219">
        <f>ROUND(C68*1.05,0)</f>
        <v>562902</v>
      </c>
      <c r="E69" s="288" t="s">
        <v>435</v>
      </c>
      <c r="F69" s="219">
        <f>ROUND(F68*1.05,0)-1</f>
        <v>702192</v>
      </c>
      <c r="I69" s="2">
        <v>176</v>
      </c>
      <c r="J69" s="80" t="s">
        <v>259</v>
      </c>
      <c r="K69" s="282">
        <f>ROUNDDOWN((258823.529411765*C8),0)</f>
        <v>6470588</v>
      </c>
      <c r="L69" s="283">
        <f>258823.529411765*C8</f>
        <v>6470588.235294125</v>
      </c>
      <c r="M69" s="284"/>
      <c r="N69" s="80"/>
      <c r="P69" s="284"/>
      <c r="R69" s="284"/>
    </row>
    <row r="70" spans="2:18" ht="14.25">
      <c r="B70" s="288" t="s">
        <v>436</v>
      </c>
      <c r="C70" s="219">
        <f>ROUND(C69*1.05,0)</f>
        <v>591047</v>
      </c>
      <c r="E70" s="288" t="s">
        <v>436</v>
      </c>
      <c r="F70" s="219">
        <f>ROUND(F69*1.05,0)</f>
        <v>737302</v>
      </c>
      <c r="I70" s="2">
        <v>176</v>
      </c>
      <c r="J70" s="80" t="s">
        <v>260</v>
      </c>
      <c r="K70" s="282">
        <f>ROUNDDOWN((294117.647058824*C8),0)</f>
        <v>7352941</v>
      </c>
      <c r="L70" s="283">
        <f>294117.647058824*C8</f>
        <v>7352941.1764706</v>
      </c>
      <c r="M70" s="284"/>
      <c r="N70" s="80"/>
      <c r="P70" s="284"/>
      <c r="R70" s="284"/>
    </row>
    <row r="71" spans="2:6" ht="12.75">
      <c r="B71" s="288" t="s">
        <v>261</v>
      </c>
      <c r="C71" s="219">
        <f>ROUND(C70*1.05,0)</f>
        <v>620599</v>
      </c>
      <c r="E71" s="288" t="s">
        <v>261</v>
      </c>
      <c r="F71" s="219">
        <f>ROUND(F70*1.05,0)</f>
        <v>774167</v>
      </c>
    </row>
    <row r="72" ht="12.75">
      <c r="I72" s="80" t="s">
        <v>262</v>
      </c>
    </row>
    <row r="73" spans="10:18" ht="25.5">
      <c r="J73" s="80" t="s">
        <v>242</v>
      </c>
      <c r="L73" s="84" t="s">
        <v>243</v>
      </c>
      <c r="R73" s="85" t="s">
        <v>263</v>
      </c>
    </row>
    <row r="74" spans="2:19" ht="14.25">
      <c r="B74" s="86" t="s">
        <v>264</v>
      </c>
      <c r="J74" s="80" t="s">
        <v>265</v>
      </c>
      <c r="K74" s="2">
        <v>13.5</v>
      </c>
      <c r="L74" s="289">
        <f aca="true" t="shared" si="0" ref="L74:L79">477.647058823529*$C$8</f>
        <v>11941.176470588225</v>
      </c>
      <c r="M74" s="290">
        <v>12000</v>
      </c>
      <c r="N74" s="241">
        <f>K74*M74</f>
        <v>162000</v>
      </c>
      <c r="O74" s="81">
        <v>1</v>
      </c>
      <c r="P74" s="291">
        <v>1</v>
      </c>
      <c r="Q74" s="292">
        <v>15</v>
      </c>
      <c r="R74" s="293">
        <f>ROUNDDOWN(N74*80%,0)</f>
        <v>129600</v>
      </c>
      <c r="S74" s="241">
        <f>N74*80%</f>
        <v>129600</v>
      </c>
    </row>
    <row r="75" spans="2:19" ht="14.25">
      <c r="B75" s="2" t="s">
        <v>266</v>
      </c>
      <c r="C75" s="87">
        <f>2.5*C6</f>
        <v>312500</v>
      </c>
      <c r="J75" s="80" t="s">
        <v>267</v>
      </c>
      <c r="K75" s="2">
        <v>22.5</v>
      </c>
      <c r="L75" s="289">
        <f t="shared" si="0"/>
        <v>11941.176470588225</v>
      </c>
      <c r="M75" s="290">
        <v>12000</v>
      </c>
      <c r="N75" s="241">
        <f>K75*M75</f>
        <v>270000</v>
      </c>
      <c r="O75" s="81">
        <v>1</v>
      </c>
      <c r="P75" s="294">
        <v>16</v>
      </c>
      <c r="Q75" s="295">
        <v>50</v>
      </c>
      <c r="R75" s="293">
        <f>ROUNDUP(N75*78%,0)</f>
        <v>210600</v>
      </c>
      <c r="S75" s="241">
        <f>N75*78%</f>
        <v>210600</v>
      </c>
    </row>
    <row r="76" spans="2:19" ht="14.25">
      <c r="B76" s="2" t="s">
        <v>268</v>
      </c>
      <c r="J76" s="80" t="s">
        <v>269</v>
      </c>
      <c r="K76" s="2">
        <v>45</v>
      </c>
      <c r="L76" s="289">
        <f t="shared" si="0"/>
        <v>11941.176470588225</v>
      </c>
      <c r="M76" s="290">
        <v>12000</v>
      </c>
      <c r="N76" s="241">
        <f aca="true" t="shared" si="1" ref="N76:N90">K76*M76</f>
        <v>540000</v>
      </c>
      <c r="O76" s="81">
        <v>1</v>
      </c>
      <c r="P76" s="294">
        <v>51</v>
      </c>
      <c r="Q76" s="295">
        <v>100</v>
      </c>
      <c r="R76" s="293">
        <f>ROUNDUP(N76*76%,0)</f>
        <v>410400</v>
      </c>
      <c r="S76" s="241">
        <f>N76*76%</f>
        <v>410400</v>
      </c>
    </row>
    <row r="77" spans="2:19" ht="14.25">
      <c r="B77" s="2" t="s">
        <v>270</v>
      </c>
      <c r="D77" s="2" t="s">
        <v>146</v>
      </c>
      <c r="E77" s="2" t="s">
        <v>147</v>
      </c>
      <c r="J77" s="80" t="s">
        <v>271</v>
      </c>
      <c r="K77" s="2">
        <v>67.5</v>
      </c>
      <c r="L77" s="289">
        <f t="shared" si="0"/>
        <v>11941.176470588225</v>
      </c>
      <c r="M77" s="290">
        <v>12000</v>
      </c>
      <c r="N77" s="241">
        <f t="shared" si="1"/>
        <v>810000</v>
      </c>
      <c r="O77" s="81">
        <v>1</v>
      </c>
      <c r="P77" s="294">
        <v>101</v>
      </c>
      <c r="Q77" s="295">
        <v>150</v>
      </c>
      <c r="R77" s="293">
        <f>ROUNDUP(N77*74%,0)</f>
        <v>599400</v>
      </c>
      <c r="S77" s="241">
        <f>N77*74%</f>
        <v>599400</v>
      </c>
    </row>
    <row r="78" spans="2:19" ht="14.25">
      <c r="B78" s="88">
        <f>1000000*C8</f>
        <v>25000000</v>
      </c>
      <c r="C78" s="2">
        <v>1.4</v>
      </c>
      <c r="D78" s="88">
        <f>B78*C78%</f>
        <v>349999.99999999994</v>
      </c>
      <c r="E78" s="88">
        <f>D78</f>
        <v>349999.99999999994</v>
      </c>
      <c r="J78" s="80" t="s">
        <v>272</v>
      </c>
      <c r="K78" s="2">
        <v>135</v>
      </c>
      <c r="L78" s="289">
        <f t="shared" si="0"/>
        <v>11941.176470588225</v>
      </c>
      <c r="M78" s="290">
        <v>12000</v>
      </c>
      <c r="N78" s="241">
        <f t="shared" si="1"/>
        <v>1620000</v>
      </c>
      <c r="O78" s="81">
        <v>1</v>
      </c>
      <c r="P78" s="296">
        <v>151</v>
      </c>
      <c r="Q78" s="297">
        <v>200</v>
      </c>
      <c r="R78" s="293">
        <f>ROUNDUP(N78*72%,0)</f>
        <v>1166400</v>
      </c>
      <c r="S78" s="241">
        <f>N78*72%</f>
        <v>1166400</v>
      </c>
    </row>
    <row r="79" spans="2:19" ht="14.25">
      <c r="B79" s="88">
        <f>5000000*C8</f>
        <v>125000000</v>
      </c>
      <c r="C79" s="2">
        <v>1.3</v>
      </c>
      <c r="D79" s="88">
        <f>(B79-B78)*C79%</f>
        <v>1300000</v>
      </c>
      <c r="E79" s="88">
        <f>E78+D79</f>
        <v>1650000</v>
      </c>
      <c r="J79" s="80" t="s">
        <v>273</v>
      </c>
      <c r="K79" s="2">
        <v>176</v>
      </c>
      <c r="L79" s="289">
        <f t="shared" si="0"/>
        <v>11941.176470588225</v>
      </c>
      <c r="M79" s="290">
        <v>12000</v>
      </c>
      <c r="N79" s="241">
        <f t="shared" si="1"/>
        <v>2112000</v>
      </c>
      <c r="O79" s="81">
        <v>1</v>
      </c>
      <c r="P79" s="298">
        <v>201</v>
      </c>
      <c r="Q79" s="299">
        <v>300</v>
      </c>
      <c r="R79" s="293">
        <f>ROUNDUP(N79*70%,0)</f>
        <v>1478400</v>
      </c>
      <c r="S79" s="241">
        <f>N79*70%</f>
        <v>1478400</v>
      </c>
    </row>
    <row r="80" spans="2:19" ht="14.25">
      <c r="B80" s="88">
        <f>10000000*C8</f>
        <v>250000000</v>
      </c>
      <c r="C80" s="2">
        <v>1.2</v>
      </c>
      <c r="D80" s="88">
        <f>(B80-B79)*C80%</f>
        <v>1500000</v>
      </c>
      <c r="E80" s="88">
        <f>E79+D80</f>
        <v>3150000</v>
      </c>
      <c r="J80" s="80" t="s">
        <v>274</v>
      </c>
      <c r="K80" s="2">
        <v>192</v>
      </c>
      <c r="L80" s="300">
        <f>581.851345189239*$C$8</f>
        <v>14546.283629730977</v>
      </c>
      <c r="M80" s="290">
        <v>14550</v>
      </c>
      <c r="N80" s="241">
        <f t="shared" si="1"/>
        <v>2793600</v>
      </c>
      <c r="O80" s="301">
        <f>Q80/P80</f>
        <v>1.3289036544850499</v>
      </c>
      <c r="P80" s="302">
        <v>301</v>
      </c>
      <c r="Q80" s="303">
        <v>400</v>
      </c>
      <c r="R80" s="293">
        <f>ROUNDUP(N80*68%,0)</f>
        <v>1899648</v>
      </c>
      <c r="S80" s="241">
        <f>N80*68%</f>
        <v>1899648.0000000002</v>
      </c>
    </row>
    <row r="81" spans="2:19" ht="14.25">
      <c r="B81" s="88">
        <f>30000000*C8</f>
        <v>750000000</v>
      </c>
      <c r="C81" s="2">
        <v>1.1</v>
      </c>
      <c r="D81" s="88">
        <f>(B81-B80)*C81%</f>
        <v>5500000.000000001</v>
      </c>
      <c r="E81" s="88">
        <f>E80+D81</f>
        <v>8650000</v>
      </c>
      <c r="J81" s="80" t="s">
        <v>250</v>
      </c>
      <c r="K81" s="2">
        <v>192</v>
      </c>
      <c r="L81" s="300">
        <f>725.500430410522*$C$8</f>
        <v>18137.51076026305</v>
      </c>
      <c r="M81" s="290">
        <v>18140</v>
      </c>
      <c r="N81" s="241">
        <f t="shared" si="1"/>
        <v>3482880</v>
      </c>
      <c r="O81" s="304">
        <f aca="true" t="shared" si="2" ref="O81:O90">Q81/P81</f>
        <v>1.2468827930174564</v>
      </c>
      <c r="P81" s="296">
        <v>401</v>
      </c>
      <c r="Q81" s="297">
        <v>500</v>
      </c>
      <c r="R81" s="293">
        <f>ROUNDUP(N81*66%,0)</f>
        <v>2298701</v>
      </c>
      <c r="S81" s="241">
        <f>N81*66%</f>
        <v>2298700.8000000003</v>
      </c>
    </row>
    <row r="82" spans="2:19" ht="14.25">
      <c r="B82" s="88">
        <f>100000000*C8</f>
        <v>2500000000</v>
      </c>
      <c r="C82" s="2">
        <v>1</v>
      </c>
      <c r="D82" s="88">
        <f>(B82-B81)*C82%</f>
        <v>17500000</v>
      </c>
      <c r="E82" s="88">
        <f>E81+D82</f>
        <v>26150000</v>
      </c>
      <c r="J82" s="80" t="s">
        <v>275</v>
      </c>
      <c r="K82" s="2">
        <v>192</v>
      </c>
      <c r="L82" s="300">
        <f>868.862790910805*$C$8</f>
        <v>21721.569772770123</v>
      </c>
      <c r="M82" s="290">
        <v>21722</v>
      </c>
      <c r="N82" s="241">
        <f t="shared" si="1"/>
        <v>4170624</v>
      </c>
      <c r="O82" s="304">
        <f t="shared" si="2"/>
        <v>1.1976047904191616</v>
      </c>
      <c r="P82" s="296">
        <v>501</v>
      </c>
      <c r="Q82" s="297">
        <v>600</v>
      </c>
      <c r="R82" s="293">
        <f>ROUNDDOWN(N82*64%,0)</f>
        <v>2669199</v>
      </c>
      <c r="S82" s="241">
        <f>N82*64%</f>
        <v>2669199.36</v>
      </c>
    </row>
    <row r="83" spans="3:19" ht="14.25">
      <c r="C83" s="2">
        <v>0.9</v>
      </c>
      <c r="J83" s="80" t="s">
        <v>276</v>
      </c>
      <c r="K83" s="2">
        <v>192</v>
      </c>
      <c r="L83" s="300">
        <f>1011.98661170976*$C$8</f>
        <v>25299.665292744</v>
      </c>
      <c r="M83" s="290">
        <v>25300</v>
      </c>
      <c r="N83" s="241">
        <f t="shared" si="1"/>
        <v>4857600</v>
      </c>
      <c r="O83" s="304">
        <f t="shared" si="2"/>
        <v>1.1647254575707155</v>
      </c>
      <c r="P83" s="296">
        <v>601</v>
      </c>
      <c r="Q83" s="297">
        <v>700</v>
      </c>
      <c r="R83" s="293">
        <f>ROUNDUP(N83*62%,0)</f>
        <v>3011712</v>
      </c>
      <c r="S83" s="241">
        <f>N83*62%</f>
        <v>3011712</v>
      </c>
    </row>
    <row r="84" spans="10:19" ht="14.25">
      <c r="J84" s="80" t="s">
        <v>277</v>
      </c>
      <c r="K84" s="2">
        <v>192</v>
      </c>
      <c r="L84" s="300">
        <f>1154.90626158032*$C$8</f>
        <v>28872.656539508</v>
      </c>
      <c r="M84" s="290">
        <v>28873</v>
      </c>
      <c r="N84" s="241">
        <f t="shared" si="1"/>
        <v>5543616</v>
      </c>
      <c r="O84" s="304">
        <f t="shared" si="2"/>
        <v>1.1412268188302426</v>
      </c>
      <c r="P84" s="296">
        <v>701</v>
      </c>
      <c r="Q84" s="297">
        <v>800</v>
      </c>
      <c r="R84" s="293">
        <f>ROUNDUP(N84*60%,0)</f>
        <v>3326170</v>
      </c>
      <c r="S84" s="241">
        <f>N84*60%</f>
        <v>3326169.6</v>
      </c>
    </row>
    <row r="85" spans="2:19" ht="14.25">
      <c r="B85" s="2" t="s">
        <v>278</v>
      </c>
      <c r="D85" s="2" t="s">
        <v>146</v>
      </c>
      <c r="E85" s="2" t="s">
        <v>147</v>
      </c>
      <c r="J85" s="80" t="s">
        <v>279</v>
      </c>
      <c r="K85" s="2">
        <v>192</v>
      </c>
      <c r="L85" s="300">
        <f>1297.64748492171*$C$8</f>
        <v>32441.18712304275</v>
      </c>
      <c r="M85" s="290">
        <v>32441</v>
      </c>
      <c r="N85" s="241">
        <f t="shared" si="1"/>
        <v>6228672</v>
      </c>
      <c r="O85" s="304">
        <f>Q85/P85</f>
        <v>1.1235955056179776</v>
      </c>
      <c r="P85" s="296">
        <v>801</v>
      </c>
      <c r="Q85" s="297">
        <v>900</v>
      </c>
      <c r="R85" s="293">
        <f>ROUNDUP(N85*58%,0)</f>
        <v>3612630</v>
      </c>
      <c r="S85" s="241">
        <f>N85*58%</f>
        <v>3612629.76</v>
      </c>
    </row>
    <row r="86" spans="2:19" ht="14.25">
      <c r="B86" s="88">
        <f>1000000*C8</f>
        <v>25000000</v>
      </c>
      <c r="C86" s="2">
        <v>1.7</v>
      </c>
      <c r="D86" s="88">
        <f>B86*C86%</f>
        <v>425000.00000000006</v>
      </c>
      <c r="E86" s="88">
        <f>D86</f>
        <v>425000.00000000006</v>
      </c>
      <c r="J86" s="80" t="s">
        <v>280</v>
      </c>
      <c r="K86" s="2">
        <v>192</v>
      </c>
      <c r="L86" s="300">
        <f>1440.23028293197*$C$8</f>
        <v>36005.757073299246</v>
      </c>
      <c r="M86" s="290">
        <v>36010</v>
      </c>
      <c r="N86" s="241">
        <f t="shared" si="1"/>
        <v>6913920</v>
      </c>
      <c r="O86" s="304">
        <f t="shared" si="2"/>
        <v>1.1098779134295227</v>
      </c>
      <c r="P86" s="296">
        <v>901</v>
      </c>
      <c r="Q86" s="297">
        <v>1000</v>
      </c>
      <c r="R86" s="293">
        <f>ROUNDDOWN(N86*56%,0)</f>
        <v>3871795</v>
      </c>
      <c r="S86" s="241">
        <f>N86*56%</f>
        <v>3871795.2</v>
      </c>
    </row>
    <row r="87" spans="2:19" ht="14.25">
      <c r="B87" s="88">
        <f>5000000*C8</f>
        <v>125000000</v>
      </c>
      <c r="C87" s="2">
        <v>1.6</v>
      </c>
      <c r="D87" s="88">
        <f>(B87-B86)*C87%</f>
        <v>1600000</v>
      </c>
      <c r="E87" s="88">
        <f>E86+D87</f>
        <v>2025000</v>
      </c>
      <c r="J87" s="80" t="s">
        <v>281</v>
      </c>
      <c r="K87" s="2">
        <v>192</v>
      </c>
      <c r="L87" s="300">
        <f>1798.48936430067*$C$8</f>
        <v>44962.23410751675</v>
      </c>
      <c r="M87" s="290">
        <v>44962</v>
      </c>
      <c r="N87" s="241">
        <f t="shared" si="1"/>
        <v>8632704</v>
      </c>
      <c r="O87" s="304">
        <f t="shared" si="2"/>
        <v>1.2487512487512487</v>
      </c>
      <c r="P87" s="296">
        <v>1001</v>
      </c>
      <c r="Q87" s="297">
        <v>1250</v>
      </c>
      <c r="R87" s="293">
        <f>ROUNDDOWN(N87*54%,0)</f>
        <v>4661660</v>
      </c>
      <c r="S87" s="241">
        <f>N87*54%</f>
        <v>4661660.16</v>
      </c>
    </row>
    <row r="88" spans="2:19" ht="14.25">
      <c r="B88" s="88">
        <f>10000000*C8</f>
        <v>250000000</v>
      </c>
      <c r="C88" s="2">
        <v>1.5</v>
      </c>
      <c r="D88" s="88">
        <f>(B88-B87)*C88%</f>
        <v>1875000</v>
      </c>
      <c r="E88" s="88">
        <f>E87+D88</f>
        <v>3900000</v>
      </c>
      <c r="J88" s="80" t="s">
        <v>282</v>
      </c>
      <c r="K88" s="2">
        <v>192</v>
      </c>
      <c r="L88" s="300">
        <f>2156.46206750679*$C$8</f>
        <v>53911.55168766975</v>
      </c>
      <c r="M88" s="290">
        <v>53912</v>
      </c>
      <c r="N88" s="241">
        <f t="shared" si="1"/>
        <v>10351104</v>
      </c>
      <c r="O88" s="304">
        <f t="shared" si="2"/>
        <v>1.1990407673860912</v>
      </c>
      <c r="P88" s="296">
        <v>1251</v>
      </c>
      <c r="Q88" s="297">
        <v>1500</v>
      </c>
      <c r="R88" s="293">
        <f>ROUNDDOWN(N88*52%,0)</f>
        <v>5382574</v>
      </c>
      <c r="S88" s="241">
        <f>N88*52%</f>
        <v>5382574.08</v>
      </c>
    </row>
    <row r="89" spans="2:19" ht="14.25">
      <c r="B89" s="88">
        <f>30000000*C8</f>
        <v>750000000</v>
      </c>
      <c r="C89" s="2">
        <v>1.4</v>
      </c>
      <c r="D89" s="88">
        <f>(B89-B88)*C89%</f>
        <v>6999999.999999999</v>
      </c>
      <c r="E89" s="88">
        <f>E88+D89</f>
        <v>10900000</v>
      </c>
      <c r="J89" s="80" t="s">
        <v>283</v>
      </c>
      <c r="K89" s="2">
        <v>192</v>
      </c>
      <c r="L89" s="300">
        <f>2873.36717855669*$C$8</f>
        <v>71834.17946391724</v>
      </c>
      <c r="M89" s="290">
        <v>71834</v>
      </c>
      <c r="N89" s="241">
        <f t="shared" si="1"/>
        <v>13792128</v>
      </c>
      <c r="O89" s="304">
        <f t="shared" si="2"/>
        <v>1.3324450366422385</v>
      </c>
      <c r="P89" s="296">
        <v>1501</v>
      </c>
      <c r="Q89" s="297">
        <v>2000</v>
      </c>
      <c r="R89" s="293">
        <f>ROUNDDOWN(N89*50%,0)</f>
        <v>6896064</v>
      </c>
      <c r="S89" s="241">
        <f>N89*50%</f>
        <v>6896064</v>
      </c>
    </row>
    <row r="90" spans="2:19" ht="14.25">
      <c r="B90" s="88">
        <f>100000000*C8</f>
        <v>2500000000</v>
      </c>
      <c r="C90" s="2">
        <v>1.3</v>
      </c>
      <c r="D90" s="88">
        <f>(B90-B89)*C90%</f>
        <v>22750000.000000004</v>
      </c>
      <c r="E90" s="88">
        <f>E89+D90</f>
        <v>33650000</v>
      </c>
      <c r="J90" s="80" t="s">
        <v>284</v>
      </c>
      <c r="K90" s="2">
        <v>192</v>
      </c>
      <c r="L90" s="305">
        <f>3589.91401618777*$C$8</f>
        <v>89747.85040469425</v>
      </c>
      <c r="M90" s="290">
        <v>89750</v>
      </c>
      <c r="N90" s="241">
        <f t="shared" si="1"/>
        <v>17232000</v>
      </c>
      <c r="O90" s="306">
        <f t="shared" si="2"/>
        <v>1.249375312343828</v>
      </c>
      <c r="P90" s="298">
        <v>2001</v>
      </c>
      <c r="Q90" s="299">
        <v>2500</v>
      </c>
      <c r="R90" s="293">
        <f>ROUNDDOWN(N90*48%,0)</f>
        <v>8271360</v>
      </c>
      <c r="S90" s="241">
        <f>N90*48%</f>
        <v>8271360</v>
      </c>
    </row>
    <row r="91" ht="12.75">
      <c r="C91" s="2">
        <v>1.2</v>
      </c>
    </row>
    <row r="93" spans="2:9" ht="12.75">
      <c r="B93" s="280" t="s">
        <v>285</v>
      </c>
      <c r="C93" s="269">
        <v>1000000</v>
      </c>
      <c r="D93" s="270">
        <f>C93</f>
        <v>1000000</v>
      </c>
      <c r="E93" s="307"/>
      <c r="F93" s="270">
        <f>C48</f>
        <v>203958</v>
      </c>
      <c r="G93" s="272">
        <f>F93</f>
        <v>203958</v>
      </c>
      <c r="I93" s="80" t="s">
        <v>437</v>
      </c>
    </row>
    <row r="94" spans="2:7" ht="12.75">
      <c r="B94" s="308"/>
      <c r="C94" s="263">
        <f>D94-D93</f>
        <v>4000000</v>
      </c>
      <c r="D94" s="274">
        <v>5000000</v>
      </c>
      <c r="E94" s="82">
        <v>0.4</v>
      </c>
      <c r="F94" s="275">
        <f>C94*E94%</f>
        <v>16000</v>
      </c>
      <c r="G94" s="276">
        <f>G93+F94</f>
        <v>219958</v>
      </c>
    </row>
    <row r="95" spans="2:14" ht="12.75">
      <c r="B95" s="308"/>
      <c r="C95" s="263">
        <f>D95-D94</f>
        <v>10000000</v>
      </c>
      <c r="D95" s="274">
        <v>15000000</v>
      </c>
      <c r="E95" s="82">
        <v>0.3</v>
      </c>
      <c r="F95" s="275">
        <f>C95*E95%</f>
        <v>30000</v>
      </c>
      <c r="G95" s="276">
        <f>G94+F95</f>
        <v>249958</v>
      </c>
      <c r="L95" s="80" t="s">
        <v>148</v>
      </c>
      <c r="M95" s="80" t="s">
        <v>146</v>
      </c>
      <c r="N95" s="80" t="s">
        <v>147</v>
      </c>
    </row>
    <row r="96" spans="2:14" ht="12.75">
      <c r="B96" s="308"/>
      <c r="C96" s="263">
        <f>D96-D95</f>
        <v>25000000</v>
      </c>
      <c r="D96" s="274">
        <v>40000000</v>
      </c>
      <c r="E96" s="82">
        <v>0.2</v>
      </c>
      <c r="F96" s="275">
        <f>C96*E96%</f>
        <v>50000</v>
      </c>
      <c r="G96" s="276">
        <f>G95+F96</f>
        <v>299958</v>
      </c>
      <c r="J96" s="88">
        <f>100000*C8</f>
        <v>2500000</v>
      </c>
      <c r="K96" s="88">
        <f>J96</f>
        <v>2500000</v>
      </c>
      <c r="L96" s="2">
        <v>10</v>
      </c>
      <c r="M96" s="88">
        <f>J96*L96%</f>
        <v>250000</v>
      </c>
      <c r="N96" s="88">
        <f>M96</f>
        <v>250000</v>
      </c>
    </row>
    <row r="97" spans="2:14" ht="12.75">
      <c r="B97" s="309"/>
      <c r="C97" s="310" t="s">
        <v>286</v>
      </c>
      <c r="D97" s="311"/>
      <c r="E97" s="278">
        <v>0.1</v>
      </c>
      <c r="F97" s="312"/>
      <c r="G97" s="313"/>
      <c r="J97" s="88">
        <f aca="true" t="shared" si="3" ref="J97:J105">K97-K96</f>
        <v>2500000</v>
      </c>
      <c r="K97" s="88">
        <f>200000*C8</f>
        <v>5000000</v>
      </c>
      <c r="L97" s="2">
        <v>9</v>
      </c>
      <c r="M97" s="88">
        <f aca="true" t="shared" si="4" ref="M97:M105">J97*L97%</f>
        <v>225000</v>
      </c>
      <c r="N97" s="88">
        <f>N96+M97</f>
        <v>475000</v>
      </c>
    </row>
    <row r="98" spans="10:14" ht="12.75">
      <c r="J98" s="88">
        <f t="shared" si="3"/>
        <v>7500000</v>
      </c>
      <c r="K98" s="88">
        <f>500000*C8</f>
        <v>12500000</v>
      </c>
      <c r="L98" s="2">
        <v>8</v>
      </c>
      <c r="M98" s="88">
        <f t="shared" si="4"/>
        <v>600000</v>
      </c>
      <c r="N98" s="88">
        <f aca="true" t="shared" si="5" ref="N98:N105">N97+M98</f>
        <v>1075000</v>
      </c>
    </row>
    <row r="99" spans="10:14" ht="12.75">
      <c r="J99" s="88">
        <f t="shared" si="3"/>
        <v>12500000</v>
      </c>
      <c r="K99" s="88">
        <f>1000000*C8</f>
        <v>25000000</v>
      </c>
      <c r="L99" s="2">
        <v>7</v>
      </c>
      <c r="M99" s="88">
        <f t="shared" si="4"/>
        <v>875000.0000000001</v>
      </c>
      <c r="N99" s="88">
        <f t="shared" si="5"/>
        <v>1950000</v>
      </c>
    </row>
    <row r="100" spans="2:14" ht="12.75">
      <c r="B100" s="80" t="s">
        <v>287</v>
      </c>
      <c r="J100" s="88">
        <f t="shared" si="3"/>
        <v>25000000</v>
      </c>
      <c r="K100" s="88">
        <f>2000000*C8</f>
        <v>50000000</v>
      </c>
      <c r="L100" s="2">
        <v>6</v>
      </c>
      <c r="M100" s="88">
        <f t="shared" si="4"/>
        <v>1500000</v>
      </c>
      <c r="N100" s="88">
        <f t="shared" si="5"/>
        <v>3450000</v>
      </c>
    </row>
    <row r="101" spans="3:14" ht="12.75">
      <c r="C101" s="80" t="s">
        <v>288</v>
      </c>
      <c r="D101" s="80" t="s">
        <v>289</v>
      </c>
      <c r="E101" s="80" t="s">
        <v>290</v>
      </c>
      <c r="F101" s="80" t="s">
        <v>291</v>
      </c>
      <c r="G101" s="80" t="s">
        <v>156</v>
      </c>
      <c r="J101" s="88">
        <f t="shared" si="3"/>
        <v>75000000</v>
      </c>
      <c r="K101" s="88">
        <f>5000000*C8</f>
        <v>125000000</v>
      </c>
      <c r="L101" s="2">
        <v>5</v>
      </c>
      <c r="M101" s="88">
        <f t="shared" si="4"/>
        <v>3750000</v>
      </c>
      <c r="N101" s="88">
        <f t="shared" si="5"/>
        <v>7200000</v>
      </c>
    </row>
    <row r="102" spans="1:14" ht="12.75">
      <c r="A102" s="80" t="s">
        <v>292</v>
      </c>
      <c r="B102" s="207">
        <v>476766</v>
      </c>
      <c r="C102" s="2">
        <v>1</v>
      </c>
      <c r="E102" s="28">
        <f>B102</f>
        <v>476766</v>
      </c>
      <c r="F102" s="82">
        <v>4</v>
      </c>
      <c r="G102" s="89">
        <f>B104</f>
        <v>508748.4355608199</v>
      </c>
      <c r="J102" s="88">
        <f t="shared" si="3"/>
        <v>125000000</v>
      </c>
      <c r="K102" s="88">
        <f>10000000*C8</f>
        <v>250000000</v>
      </c>
      <c r="L102" s="2">
        <v>4</v>
      </c>
      <c r="M102" s="88">
        <f t="shared" si="4"/>
        <v>5000000</v>
      </c>
      <c r="N102" s="88">
        <f t="shared" si="5"/>
        <v>12200000</v>
      </c>
    </row>
    <row r="103" spans="3:14" ht="12.75">
      <c r="C103" s="2">
        <v>10</v>
      </c>
      <c r="D103" s="2">
        <v>1.3</v>
      </c>
      <c r="E103" s="28">
        <f>E102*D103</f>
        <v>619795.8</v>
      </c>
      <c r="F103" s="82">
        <v>4</v>
      </c>
      <c r="G103" s="89">
        <f>E103+((E103/2)*(4-1)*0.1)/(5^(1/2))</f>
        <v>661372.966229066</v>
      </c>
      <c r="J103" s="88">
        <f t="shared" si="3"/>
        <v>250000000</v>
      </c>
      <c r="K103" s="88">
        <f>20000000*C8</f>
        <v>500000000</v>
      </c>
      <c r="L103" s="2">
        <v>3</v>
      </c>
      <c r="M103" s="88">
        <f t="shared" si="4"/>
        <v>7500000</v>
      </c>
      <c r="N103" s="88">
        <f t="shared" si="5"/>
        <v>19700000</v>
      </c>
    </row>
    <row r="104" spans="1:14" ht="12.75">
      <c r="A104" s="80" t="s">
        <v>156</v>
      </c>
      <c r="B104" s="89">
        <f>B102+((B102/2)*(4-1)*0.1)/(5^(1/2))</f>
        <v>508748.4355608199</v>
      </c>
      <c r="C104" s="2">
        <v>25</v>
      </c>
      <c r="D104" s="2">
        <v>1.3</v>
      </c>
      <c r="E104" s="28">
        <f>E103*D104</f>
        <v>805734.54</v>
      </c>
      <c r="F104" s="82">
        <v>4</v>
      </c>
      <c r="G104" s="89">
        <f aca="true" t="shared" si="6" ref="G104:G123">E104+((E104/2)*(4-1)*0.1)/(5^(1/2))</f>
        <v>859784.8560977858</v>
      </c>
      <c r="J104" s="88">
        <f t="shared" si="3"/>
        <v>500000000</v>
      </c>
      <c r="K104" s="88">
        <f>40000000*C8</f>
        <v>1000000000</v>
      </c>
      <c r="L104" s="2">
        <v>2</v>
      </c>
      <c r="M104" s="88">
        <f t="shared" si="4"/>
        <v>10000000</v>
      </c>
      <c r="N104" s="88">
        <f t="shared" si="5"/>
        <v>29700000</v>
      </c>
    </row>
    <row r="105" spans="3:14" ht="12.75">
      <c r="C105" s="2">
        <v>50</v>
      </c>
      <c r="D105" s="2">
        <v>1.25</v>
      </c>
      <c r="E105" s="28">
        <f aca="true" t="shared" si="7" ref="E105:E123">E104*D105</f>
        <v>1007168.175</v>
      </c>
      <c r="F105" s="82">
        <v>4</v>
      </c>
      <c r="G105" s="89">
        <f t="shared" si="6"/>
        <v>1074731.0701222322</v>
      </c>
      <c r="J105" s="88">
        <f t="shared" si="3"/>
        <v>1000000000</v>
      </c>
      <c r="K105" s="88">
        <f>80000000*C8</f>
        <v>2000000000</v>
      </c>
      <c r="L105" s="2">
        <v>1</v>
      </c>
      <c r="M105" s="88">
        <f t="shared" si="4"/>
        <v>10000000</v>
      </c>
      <c r="N105" s="88">
        <f t="shared" si="5"/>
        <v>39700000</v>
      </c>
    </row>
    <row r="106" spans="2:12" ht="12.75">
      <c r="B106" s="88">
        <f>ROUNDDOWN(B104,0)</f>
        <v>508748</v>
      </c>
      <c r="C106" s="2">
        <v>100</v>
      </c>
      <c r="D106" s="2">
        <v>1.2</v>
      </c>
      <c r="E106" s="28">
        <f t="shared" si="7"/>
        <v>1208601.81</v>
      </c>
      <c r="F106" s="82">
        <v>4</v>
      </c>
      <c r="G106" s="89">
        <f t="shared" si="6"/>
        <v>1289677.2841466786</v>
      </c>
      <c r="L106" s="2">
        <v>0.5</v>
      </c>
    </row>
    <row r="107" spans="3:7" ht="12.75">
      <c r="C107" s="2">
        <v>150</v>
      </c>
      <c r="D107" s="2">
        <v>1.2</v>
      </c>
      <c r="E107" s="28">
        <f t="shared" si="7"/>
        <v>1450322.172</v>
      </c>
      <c r="F107" s="82">
        <v>4</v>
      </c>
      <c r="G107" s="89">
        <f t="shared" si="6"/>
        <v>1547612.7409760142</v>
      </c>
    </row>
    <row r="108" spans="3:7" ht="12.75">
      <c r="C108" s="2">
        <v>200</v>
      </c>
      <c r="D108" s="2">
        <v>1.25</v>
      </c>
      <c r="E108" s="28">
        <f t="shared" si="7"/>
        <v>1812902.715</v>
      </c>
      <c r="F108" s="82">
        <v>4</v>
      </c>
      <c r="G108" s="89">
        <f t="shared" si="6"/>
        <v>1934515.926220018</v>
      </c>
    </row>
    <row r="109" spans="3:7" ht="12.75">
      <c r="C109" s="2">
        <v>250</v>
      </c>
      <c r="D109" s="2">
        <v>1.25</v>
      </c>
      <c r="E109" s="28">
        <f t="shared" si="7"/>
        <v>2266128.3937500003</v>
      </c>
      <c r="F109" s="82">
        <v>4</v>
      </c>
      <c r="G109" s="89">
        <f t="shared" si="6"/>
        <v>2418144.9077750226</v>
      </c>
    </row>
    <row r="110" spans="3:7" ht="12.75">
      <c r="C110" s="2">
        <v>300</v>
      </c>
      <c r="D110" s="2">
        <v>1.25</v>
      </c>
      <c r="E110" s="28">
        <f t="shared" si="7"/>
        <v>2832660.4921875005</v>
      </c>
      <c r="F110" s="82">
        <v>4</v>
      </c>
      <c r="G110" s="89">
        <f t="shared" si="6"/>
        <v>3022681.1347187785</v>
      </c>
    </row>
    <row r="111" spans="3:7" ht="12.75">
      <c r="C111" s="2">
        <v>400</v>
      </c>
      <c r="D111" s="2">
        <v>1.25</v>
      </c>
      <c r="E111" s="28">
        <f t="shared" si="7"/>
        <v>3540825.6152343755</v>
      </c>
      <c r="F111" s="82">
        <v>4</v>
      </c>
      <c r="G111" s="89">
        <f t="shared" si="6"/>
        <v>3778351.418398473</v>
      </c>
    </row>
    <row r="112" spans="3:7" ht="12.75">
      <c r="C112" s="2">
        <v>500</v>
      </c>
      <c r="D112" s="2">
        <v>1.25</v>
      </c>
      <c r="E112" s="28">
        <f t="shared" si="7"/>
        <v>4426032.01904297</v>
      </c>
      <c r="F112" s="82">
        <v>4</v>
      </c>
      <c r="G112" s="89">
        <f t="shared" si="6"/>
        <v>4722939.272998092</v>
      </c>
    </row>
    <row r="113" spans="3:7" ht="12.75">
      <c r="C113" s="2">
        <v>600</v>
      </c>
      <c r="D113" s="2">
        <v>1.2</v>
      </c>
      <c r="E113" s="28">
        <f t="shared" si="7"/>
        <v>5311238.422851563</v>
      </c>
      <c r="F113" s="82">
        <v>4</v>
      </c>
      <c r="G113" s="89">
        <f t="shared" si="6"/>
        <v>5667527.127597709</v>
      </c>
    </row>
    <row r="114" spans="3:7" ht="12.75">
      <c r="C114" s="2">
        <v>700</v>
      </c>
      <c r="D114" s="2">
        <v>1.17</v>
      </c>
      <c r="E114" s="28">
        <f t="shared" si="7"/>
        <v>6214148.954736329</v>
      </c>
      <c r="F114" s="82">
        <v>4</v>
      </c>
      <c r="G114" s="89">
        <f t="shared" si="6"/>
        <v>6631006.739289319</v>
      </c>
    </row>
    <row r="115" spans="3:7" ht="12.75">
      <c r="C115" s="2">
        <v>800</v>
      </c>
      <c r="D115" s="2">
        <v>1.14</v>
      </c>
      <c r="E115" s="28">
        <f t="shared" si="7"/>
        <v>7084129.808399414</v>
      </c>
      <c r="F115" s="82">
        <v>4</v>
      </c>
      <c r="G115" s="89">
        <f t="shared" si="6"/>
        <v>7559347.682789823</v>
      </c>
    </row>
    <row r="116" spans="3:7" ht="12.75">
      <c r="C116" s="2">
        <v>900</v>
      </c>
      <c r="D116" s="2">
        <v>1.13</v>
      </c>
      <c r="E116" s="28">
        <f t="shared" si="7"/>
        <v>8005066.683491337</v>
      </c>
      <c r="F116" s="82">
        <v>4</v>
      </c>
      <c r="G116" s="89">
        <f t="shared" si="6"/>
        <v>8542062.881552499</v>
      </c>
    </row>
    <row r="117" spans="3:7" ht="12.75">
      <c r="C117" s="2">
        <v>1000</v>
      </c>
      <c r="D117" s="2">
        <v>1.11</v>
      </c>
      <c r="E117" s="28">
        <f t="shared" si="7"/>
        <v>8885624.018675385</v>
      </c>
      <c r="F117" s="82">
        <v>4</v>
      </c>
      <c r="G117" s="89">
        <f t="shared" si="6"/>
        <v>9481689.798523275</v>
      </c>
    </row>
    <row r="118" spans="3:7" ht="12.75">
      <c r="C118" s="2">
        <v>1100</v>
      </c>
      <c r="D118" s="2">
        <v>1.1</v>
      </c>
      <c r="E118" s="28">
        <f t="shared" si="7"/>
        <v>9774186.420542924</v>
      </c>
      <c r="F118" s="82">
        <v>4</v>
      </c>
      <c r="G118" s="89">
        <f t="shared" si="6"/>
        <v>10429858.778375603</v>
      </c>
    </row>
    <row r="119" spans="3:7" ht="12.75">
      <c r="C119" s="2">
        <v>1200</v>
      </c>
      <c r="D119" s="2">
        <v>1.1</v>
      </c>
      <c r="E119" s="28">
        <f t="shared" si="7"/>
        <v>10751605.062597217</v>
      </c>
      <c r="F119" s="82">
        <v>4</v>
      </c>
      <c r="G119" s="89">
        <f t="shared" si="6"/>
        <v>11472844.656213164</v>
      </c>
    </row>
    <row r="120" spans="3:7" ht="12.75">
      <c r="C120" s="2">
        <v>1300</v>
      </c>
      <c r="D120" s="2">
        <v>1.1</v>
      </c>
      <c r="E120" s="28">
        <f t="shared" si="7"/>
        <v>11826765.56885694</v>
      </c>
      <c r="F120" s="82">
        <v>4</v>
      </c>
      <c r="G120" s="89">
        <f t="shared" si="6"/>
        <v>12620129.121834483</v>
      </c>
    </row>
    <row r="121" spans="3:7" ht="12.75">
      <c r="C121" s="2">
        <v>1400</v>
      </c>
      <c r="D121" s="2">
        <v>1.1</v>
      </c>
      <c r="E121" s="28">
        <f t="shared" si="7"/>
        <v>13009442.125742635</v>
      </c>
      <c r="F121" s="82">
        <v>4</v>
      </c>
      <c r="G121" s="89">
        <f t="shared" si="6"/>
        <v>13882142.034017932</v>
      </c>
    </row>
    <row r="122" spans="3:7" ht="12.75">
      <c r="C122" s="2">
        <v>1500</v>
      </c>
      <c r="D122" s="2">
        <v>1.1</v>
      </c>
      <c r="E122" s="28">
        <f t="shared" si="7"/>
        <v>14310386.338316899</v>
      </c>
      <c r="F122" s="82">
        <v>4</v>
      </c>
      <c r="G122" s="89">
        <f t="shared" si="6"/>
        <v>15270356.237419724</v>
      </c>
    </row>
    <row r="123" spans="3:7" ht="12.75">
      <c r="C123" s="2">
        <v>1600</v>
      </c>
      <c r="D123" s="2">
        <v>1.1</v>
      </c>
      <c r="E123" s="28">
        <f t="shared" si="7"/>
        <v>15741424.97214859</v>
      </c>
      <c r="F123" s="82">
        <v>4</v>
      </c>
      <c r="G123" s="89">
        <f t="shared" si="6"/>
        <v>16797391.861161698</v>
      </c>
    </row>
  </sheetData>
  <sheetProtection password="D222" sheet="1" objects="1" scenarios="1" selectLockedCells="1" selectUnlockedCells="1"/>
  <mergeCells count="8">
    <mergeCell ref="B55:B59"/>
    <mergeCell ref="B93:B97"/>
    <mergeCell ref="C97:D97"/>
    <mergeCell ref="B3:E3"/>
    <mergeCell ref="J32:J46"/>
    <mergeCell ref="F44:G45"/>
    <mergeCell ref="D47:D48"/>
    <mergeCell ref="B50:B52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6.7109375" style="2" customWidth="1"/>
    <col min="3" max="3" width="9.7109375" style="2" customWidth="1"/>
    <col min="4" max="4" width="8.00390625" style="2" customWidth="1"/>
    <col min="5" max="5" width="7.8515625" style="2" customWidth="1"/>
    <col min="6" max="6" width="4.28125" style="2" customWidth="1"/>
    <col min="7" max="7" width="6.57421875" style="2" customWidth="1"/>
    <col min="8" max="8" width="9.7109375" style="2" customWidth="1"/>
    <col min="9" max="9" width="7.7109375" style="2" customWidth="1"/>
    <col min="10" max="10" width="4.28125" style="2" customWidth="1"/>
    <col min="11" max="11" width="7.7109375" style="2" customWidth="1"/>
    <col min="12" max="12" width="4.28125" style="2" customWidth="1"/>
    <col min="13" max="13" width="7.7109375" style="2" customWidth="1"/>
    <col min="14" max="14" width="4.28125" style="2" customWidth="1"/>
    <col min="15" max="15" width="7.7109375" style="2" customWidth="1"/>
    <col min="16" max="16" width="4.28125" style="2" customWidth="1"/>
    <col min="17" max="17" width="7.7109375" style="2" customWidth="1"/>
    <col min="18" max="18" width="4.28125" style="2" customWidth="1"/>
    <col min="19" max="19" width="7.7109375" style="2" customWidth="1"/>
    <col min="20" max="23" width="5.7109375" style="2" customWidth="1"/>
    <col min="24" max="24" width="7.57421875" style="2" customWidth="1"/>
    <col min="25" max="25" width="5.7109375" style="2" customWidth="1"/>
    <col min="26" max="16384" width="9.140625" style="2" customWidth="1"/>
  </cols>
  <sheetData>
    <row r="1" spans="4:21" ht="12" customHeight="1">
      <c r="D1" s="90"/>
      <c r="F1" s="91"/>
      <c r="G1" s="91"/>
      <c r="H1" s="18"/>
      <c r="U1" s="90"/>
    </row>
    <row r="2" spans="2:42" s="92" customFormat="1" ht="15.75" customHeight="1">
      <c r="B2" s="93" t="s">
        <v>293</v>
      </c>
      <c r="D2" s="80" t="s">
        <v>294</v>
      </c>
      <c r="E2" s="94">
        <f>+x!C7</f>
        <v>1</v>
      </c>
      <c r="F2" s="91"/>
      <c r="G2" s="93" t="s">
        <v>295</v>
      </c>
      <c r="H2" s="95"/>
      <c r="J2" s="93"/>
      <c r="K2" s="93"/>
      <c r="AO2" s="18"/>
      <c r="AP2" s="18"/>
    </row>
    <row r="3" spans="2:42" s="92" customFormat="1" ht="15.75" customHeight="1">
      <c r="B3" s="80" t="s">
        <v>296</v>
      </c>
      <c r="F3" s="96"/>
      <c r="G3" s="97" t="s">
        <v>297</v>
      </c>
      <c r="H3" s="95"/>
      <c r="J3" s="93"/>
      <c r="K3" s="93"/>
      <c r="Q3" s="98"/>
      <c r="R3" s="98"/>
      <c r="S3" s="98"/>
      <c r="T3" s="98"/>
      <c r="U3" s="98"/>
      <c r="V3" s="98"/>
      <c r="AO3" s="99"/>
      <c r="AP3" s="99"/>
    </row>
    <row r="4" spans="14:42" ht="7.5" customHeight="1">
      <c r="N4" s="100"/>
      <c r="U4" s="18"/>
      <c r="V4" s="18"/>
      <c r="W4" s="18"/>
      <c r="X4" s="18"/>
      <c r="AO4" s="99"/>
      <c r="AP4" s="99"/>
    </row>
    <row r="5" spans="1:24" ht="12.75" customHeight="1">
      <c r="A5" s="101"/>
      <c r="B5" s="102" t="s">
        <v>298</v>
      </c>
      <c r="C5" s="102" t="s">
        <v>299</v>
      </c>
      <c r="D5" s="103"/>
      <c r="E5" s="103"/>
      <c r="F5" s="103"/>
      <c r="G5" s="102" t="s">
        <v>298</v>
      </c>
      <c r="H5" s="102" t="s">
        <v>299</v>
      </c>
      <c r="I5" s="101"/>
      <c r="J5" s="101"/>
      <c r="K5" s="101"/>
      <c r="L5" s="99"/>
      <c r="M5" s="99"/>
      <c r="N5" s="104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42" ht="12.75" customHeight="1">
      <c r="A6" s="101"/>
      <c r="B6" s="105">
        <v>0</v>
      </c>
      <c r="C6" s="102"/>
      <c r="D6" s="103"/>
      <c r="E6" s="103"/>
      <c r="G6" s="42">
        <v>0</v>
      </c>
      <c r="H6" s="41"/>
      <c r="I6" s="101"/>
      <c r="J6" s="101"/>
      <c r="K6" s="101"/>
      <c r="L6" s="99"/>
      <c r="M6" s="99"/>
      <c r="N6" s="104"/>
      <c r="O6" s="99"/>
      <c r="P6" s="99"/>
      <c r="Q6" s="99"/>
      <c r="R6" s="106"/>
      <c r="S6" s="99"/>
      <c r="T6" s="99"/>
      <c r="U6" s="99"/>
      <c r="V6" s="99"/>
      <c r="W6" s="99"/>
      <c r="X6" s="99"/>
      <c r="AO6" s="19"/>
      <c r="AP6" s="19"/>
    </row>
    <row r="7" spans="1:42" ht="12.75" customHeight="1">
      <c r="A7" s="101"/>
      <c r="B7" s="102">
        <v>1</v>
      </c>
      <c r="C7" s="107">
        <f>750*E2</f>
        <v>750</v>
      </c>
      <c r="D7" s="101"/>
      <c r="E7" s="101"/>
      <c r="F7" s="103"/>
      <c r="G7" s="102">
        <v>1</v>
      </c>
      <c r="H7" s="107">
        <f>2500*E2</f>
        <v>2500</v>
      </c>
      <c r="I7" s="101"/>
      <c r="J7" s="101"/>
      <c r="K7" s="101"/>
      <c r="N7" s="100"/>
      <c r="AO7" s="18"/>
      <c r="AP7" s="18"/>
    </row>
    <row r="8" spans="1:42" ht="12.75" customHeight="1">
      <c r="A8" s="101"/>
      <c r="B8" s="102">
        <v>2</v>
      </c>
      <c r="C8" s="107">
        <f>1500*E2</f>
        <v>1500</v>
      </c>
      <c r="D8" s="101"/>
      <c r="E8" s="101"/>
      <c r="F8" s="101"/>
      <c r="G8" s="102">
        <v>2</v>
      </c>
      <c r="H8" s="107">
        <f>5000*E2</f>
        <v>5000</v>
      </c>
      <c r="I8" s="103"/>
      <c r="J8" s="103"/>
      <c r="K8" s="103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8"/>
      <c r="X8" s="19"/>
      <c r="Y8" s="18"/>
      <c r="Z8" s="18"/>
      <c r="AA8" s="18"/>
      <c r="AB8" s="18"/>
      <c r="AC8" s="18"/>
      <c r="AD8" s="18"/>
      <c r="AE8" s="18"/>
      <c r="AF8" s="18"/>
      <c r="AG8" s="18"/>
      <c r="AO8" s="18"/>
      <c r="AP8" s="18"/>
    </row>
    <row r="9" spans="1:42" ht="12.75" customHeight="1">
      <c r="A9" s="101"/>
      <c r="B9" s="102">
        <v>3</v>
      </c>
      <c r="C9" s="107">
        <f>2250*E2</f>
        <v>2250</v>
      </c>
      <c r="D9" s="101"/>
      <c r="E9" s="101"/>
      <c r="F9" s="101"/>
      <c r="G9" s="102">
        <v>3</v>
      </c>
      <c r="H9" s="107">
        <f>6900*E2</f>
        <v>6900</v>
      </c>
      <c r="I9" s="108"/>
      <c r="J9" s="108"/>
      <c r="K9" s="10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O9" s="18"/>
      <c r="AP9" s="18"/>
    </row>
    <row r="10" spans="1:42" ht="12.75" customHeight="1">
      <c r="A10" s="101"/>
      <c r="B10" s="102">
        <v>4</v>
      </c>
      <c r="C10" s="107">
        <f>3000*E2</f>
        <v>3000</v>
      </c>
      <c r="D10" s="101"/>
      <c r="E10" s="101"/>
      <c r="F10" s="101"/>
      <c r="G10" s="102">
        <v>4</v>
      </c>
      <c r="H10" s="107">
        <f>8800*E2</f>
        <v>8800</v>
      </c>
      <c r="I10" s="108"/>
      <c r="J10" s="108"/>
      <c r="K10" s="10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O10" s="18"/>
      <c r="AP10" s="18"/>
    </row>
    <row r="11" spans="1:42" ht="12.75" customHeight="1">
      <c r="A11" s="101"/>
      <c r="B11" s="102">
        <v>5</v>
      </c>
      <c r="C11" s="109">
        <f>3500*E2</f>
        <v>3500</v>
      </c>
      <c r="D11" s="101"/>
      <c r="E11" s="101"/>
      <c r="F11" s="101"/>
      <c r="G11" s="102">
        <v>5</v>
      </c>
      <c r="H11" s="107">
        <f>10700*E2</f>
        <v>10700</v>
      </c>
      <c r="I11" s="101"/>
      <c r="J11" s="101"/>
      <c r="K11" s="101"/>
      <c r="AO11" s="18"/>
      <c r="AP11" s="18"/>
    </row>
    <row r="12" spans="1:42" ht="12.75" customHeight="1">
      <c r="A12" s="101"/>
      <c r="B12" s="102">
        <v>6</v>
      </c>
      <c r="C12" s="107">
        <f>4000*E2</f>
        <v>4000</v>
      </c>
      <c r="D12" s="101"/>
      <c r="E12" s="101"/>
      <c r="F12" s="101"/>
      <c r="G12" s="102">
        <v>6</v>
      </c>
      <c r="H12" s="107">
        <f>12600*E2</f>
        <v>12600</v>
      </c>
      <c r="I12" s="101"/>
      <c r="J12" s="101"/>
      <c r="K12" s="101"/>
      <c r="AO12" s="18"/>
      <c r="AP12" s="18"/>
    </row>
    <row r="13" spans="1:11" ht="12.75" customHeight="1">
      <c r="A13" s="101"/>
      <c r="B13" s="102">
        <v>7</v>
      </c>
      <c r="C13" s="107">
        <f>4500*E2</f>
        <v>4500</v>
      </c>
      <c r="D13" s="101"/>
      <c r="E13" s="101"/>
      <c r="F13" s="101"/>
      <c r="G13" s="102">
        <v>7</v>
      </c>
      <c r="H13" s="107">
        <f>14500*E2</f>
        <v>14500</v>
      </c>
      <c r="I13" s="101"/>
      <c r="J13" s="101"/>
      <c r="K13" s="101"/>
    </row>
    <row r="14" spans="1:11" ht="12.75" customHeight="1">
      <c r="A14" s="101"/>
      <c r="B14" s="102">
        <v>8</v>
      </c>
      <c r="C14" s="107">
        <f>5000*E2</f>
        <v>5000</v>
      </c>
      <c r="D14" s="101"/>
      <c r="E14" s="101"/>
      <c r="F14" s="101"/>
      <c r="G14" s="102">
        <v>8</v>
      </c>
      <c r="H14" s="107">
        <f>16400*E2</f>
        <v>16400</v>
      </c>
      <c r="I14" s="101"/>
      <c r="J14" s="101"/>
      <c r="K14" s="101"/>
    </row>
    <row r="15" spans="1:22" ht="12.75" customHeight="1">
      <c r="A15" s="101"/>
      <c r="B15" s="102">
        <v>9</v>
      </c>
      <c r="C15" s="107">
        <f>5500*E2</f>
        <v>5500</v>
      </c>
      <c r="D15" s="101"/>
      <c r="E15" s="101"/>
      <c r="F15" s="101"/>
      <c r="G15" s="102">
        <v>9</v>
      </c>
      <c r="H15" s="107">
        <f>17800*E2</f>
        <v>17800</v>
      </c>
      <c r="I15" s="101"/>
      <c r="J15" s="101"/>
      <c r="K15" s="101"/>
      <c r="N15" s="100"/>
      <c r="U15" s="18"/>
      <c r="V15" s="18"/>
    </row>
    <row r="16" spans="1:22" ht="12.75" customHeight="1">
      <c r="A16" s="101"/>
      <c r="B16" s="102">
        <v>10</v>
      </c>
      <c r="C16" s="109">
        <f>6000*E2</f>
        <v>6000</v>
      </c>
      <c r="D16" s="101"/>
      <c r="E16" s="101"/>
      <c r="F16" s="101"/>
      <c r="G16" s="102">
        <v>10</v>
      </c>
      <c r="H16" s="107">
        <f>19200*E2</f>
        <v>19200</v>
      </c>
      <c r="I16" s="110"/>
      <c r="J16" s="101"/>
      <c r="K16" s="101"/>
      <c r="N16" s="100"/>
      <c r="U16" s="18"/>
      <c r="V16" s="18"/>
    </row>
    <row r="17" spans="1:14" ht="12.75" customHeight="1">
      <c r="A17" s="101"/>
      <c r="B17" s="102">
        <v>11</v>
      </c>
      <c r="C17" s="107">
        <f>6300*E2</f>
        <v>6300</v>
      </c>
      <c r="D17" s="101"/>
      <c r="E17" s="101"/>
      <c r="F17" s="101"/>
      <c r="G17" s="102">
        <v>11</v>
      </c>
      <c r="H17" s="107">
        <f>20600*E2</f>
        <v>20600</v>
      </c>
      <c r="I17" s="101"/>
      <c r="J17" s="101"/>
      <c r="K17" s="101"/>
      <c r="N17" s="100"/>
    </row>
    <row r="18" spans="1:14" ht="12.75" customHeight="1">
      <c r="A18" s="101"/>
      <c r="B18" s="102">
        <v>12</v>
      </c>
      <c r="C18" s="107">
        <f>6600*E2</f>
        <v>6600</v>
      </c>
      <c r="D18" s="101"/>
      <c r="E18" s="101"/>
      <c r="F18" s="101"/>
      <c r="G18" s="102">
        <v>12</v>
      </c>
      <c r="H18" s="107">
        <f>22200*E2</f>
        <v>22200</v>
      </c>
      <c r="I18" s="101"/>
      <c r="J18" s="101"/>
      <c r="K18" s="101"/>
      <c r="N18" s="100"/>
    </row>
    <row r="19" spans="1:21" ht="12.75" customHeight="1">
      <c r="A19" s="101"/>
      <c r="B19" s="102">
        <v>13</v>
      </c>
      <c r="C19" s="107">
        <f>6900*E2</f>
        <v>6900</v>
      </c>
      <c r="D19" s="101"/>
      <c r="E19" s="101"/>
      <c r="F19" s="101"/>
      <c r="G19" s="102">
        <v>13</v>
      </c>
      <c r="H19" s="107">
        <f>23400*E2</f>
        <v>23400</v>
      </c>
      <c r="I19" s="101"/>
      <c r="J19" s="101"/>
      <c r="K19" s="101"/>
      <c r="T19" s="18"/>
      <c r="U19" s="18"/>
    </row>
    <row r="20" spans="1:21" ht="12.75" customHeight="1">
      <c r="A20" s="101"/>
      <c r="B20" s="102">
        <v>14</v>
      </c>
      <c r="C20" s="107">
        <f>7200*E2</f>
        <v>7200</v>
      </c>
      <c r="D20" s="101"/>
      <c r="E20" s="101"/>
      <c r="F20" s="101"/>
      <c r="G20" s="102">
        <v>14</v>
      </c>
      <c r="H20" s="107">
        <f>24800*E2</f>
        <v>24800</v>
      </c>
      <c r="I20" s="101"/>
      <c r="J20" s="101"/>
      <c r="K20" s="101"/>
      <c r="T20" s="18"/>
      <c r="U20" s="18"/>
    </row>
    <row r="21" spans="1:21" ht="12.75" customHeight="1">
      <c r="A21" s="101"/>
      <c r="B21" s="102">
        <v>15</v>
      </c>
      <c r="C21" s="109">
        <f>7500*E2</f>
        <v>7500</v>
      </c>
      <c r="D21" s="101"/>
      <c r="E21" s="101"/>
      <c r="F21" s="101"/>
      <c r="G21" s="102">
        <v>15</v>
      </c>
      <c r="H21" s="107">
        <f>26200*E2</f>
        <v>26200</v>
      </c>
      <c r="I21" s="101"/>
      <c r="J21" s="101"/>
      <c r="K21" s="101"/>
      <c r="T21" s="18"/>
      <c r="U21" s="18"/>
    </row>
    <row r="22" spans="1:21" ht="12.75" customHeight="1">
      <c r="A22" s="101"/>
      <c r="B22" s="102">
        <v>16</v>
      </c>
      <c r="C22" s="107">
        <f>7800*E2</f>
        <v>7800</v>
      </c>
      <c r="D22" s="101"/>
      <c r="E22" s="101"/>
      <c r="F22" s="101"/>
      <c r="G22" s="102">
        <v>16</v>
      </c>
      <c r="H22" s="107">
        <f>27600*E2</f>
        <v>27600</v>
      </c>
      <c r="I22" s="101"/>
      <c r="J22" s="101"/>
      <c r="K22" s="101"/>
      <c r="T22" s="18"/>
      <c r="U22" s="18"/>
    </row>
    <row r="23" spans="1:21" ht="12.75" customHeight="1">
      <c r="A23" s="101"/>
      <c r="B23" s="102">
        <v>17</v>
      </c>
      <c r="C23" s="107">
        <f>8100*E2</f>
        <v>8100</v>
      </c>
      <c r="D23" s="101"/>
      <c r="E23" s="101"/>
      <c r="F23" s="101"/>
      <c r="G23" s="102">
        <v>17</v>
      </c>
      <c r="H23" s="107">
        <f>29000*E2</f>
        <v>29000</v>
      </c>
      <c r="I23" s="101"/>
      <c r="J23" s="101"/>
      <c r="K23" s="101"/>
      <c r="T23" s="18"/>
      <c r="U23" s="18"/>
    </row>
    <row r="24" spans="1:21" ht="12.75" customHeight="1">
      <c r="A24" s="101"/>
      <c r="B24" s="102">
        <v>18</v>
      </c>
      <c r="C24" s="107">
        <f>8400*E2</f>
        <v>8400</v>
      </c>
      <c r="D24" s="101"/>
      <c r="E24" s="101"/>
      <c r="F24" s="101"/>
      <c r="G24" s="102">
        <v>18</v>
      </c>
      <c r="H24" s="107">
        <f>30400*E2</f>
        <v>30400</v>
      </c>
      <c r="I24" s="101"/>
      <c r="J24" s="101"/>
      <c r="K24" s="101"/>
      <c r="T24" s="18"/>
      <c r="U24" s="18"/>
    </row>
    <row r="25" spans="1:21" ht="12.75" customHeight="1">
      <c r="A25" s="101"/>
      <c r="B25" s="102">
        <v>19</v>
      </c>
      <c r="C25" s="107">
        <f>8700*E2</f>
        <v>8700</v>
      </c>
      <c r="D25" s="101"/>
      <c r="E25" s="101"/>
      <c r="F25" s="101"/>
      <c r="G25" s="102">
        <v>19</v>
      </c>
      <c r="H25" s="107">
        <f>31800*E2</f>
        <v>31800</v>
      </c>
      <c r="I25" s="101"/>
      <c r="J25" s="101"/>
      <c r="K25" s="101"/>
      <c r="T25" s="18"/>
      <c r="U25" s="18"/>
    </row>
    <row r="26" spans="1:21" ht="12.75" customHeight="1">
      <c r="A26" s="101"/>
      <c r="B26" s="102">
        <v>20</v>
      </c>
      <c r="C26" s="109">
        <f>9000*E2</f>
        <v>9000</v>
      </c>
      <c r="D26" s="101"/>
      <c r="E26" s="101"/>
      <c r="F26" s="101"/>
      <c r="G26" s="102">
        <v>20</v>
      </c>
      <c r="H26" s="107">
        <f>33200*E2</f>
        <v>33200</v>
      </c>
      <c r="I26" s="101"/>
      <c r="J26" s="101"/>
      <c r="K26" s="101"/>
      <c r="T26" s="18"/>
      <c r="U26" s="18"/>
    </row>
    <row r="27" spans="1:21" ht="12.75" customHeight="1">
      <c r="A27" s="101"/>
      <c r="B27" s="102">
        <v>21</v>
      </c>
      <c r="C27" s="107">
        <f>9300*E2</f>
        <v>9300</v>
      </c>
      <c r="D27" s="101"/>
      <c r="E27" s="101"/>
      <c r="F27" s="101"/>
      <c r="G27" s="102">
        <v>21</v>
      </c>
      <c r="H27" s="107">
        <f>34200*E2</f>
        <v>34200</v>
      </c>
      <c r="I27" s="101"/>
      <c r="J27" s="101"/>
      <c r="K27" s="101"/>
      <c r="T27" s="18"/>
      <c r="U27" s="18"/>
    </row>
    <row r="28" spans="1:21" ht="12.75" customHeight="1">
      <c r="A28" s="101"/>
      <c r="B28" s="102">
        <v>22</v>
      </c>
      <c r="C28" s="107">
        <f>9600*E2</f>
        <v>9600</v>
      </c>
      <c r="D28" s="101"/>
      <c r="E28" s="101"/>
      <c r="F28" s="101"/>
      <c r="G28" s="102">
        <v>22</v>
      </c>
      <c r="H28" s="107">
        <f>35200*E2</f>
        <v>35200</v>
      </c>
      <c r="I28" s="101"/>
      <c r="J28" s="101"/>
      <c r="K28" s="101"/>
      <c r="T28" s="18"/>
      <c r="U28" s="18"/>
    </row>
    <row r="29" spans="1:21" ht="12.75" customHeight="1">
      <c r="A29" s="101"/>
      <c r="B29" s="102">
        <v>23</v>
      </c>
      <c r="C29" s="107">
        <f>9900*E2</f>
        <v>9900</v>
      </c>
      <c r="D29" s="101"/>
      <c r="E29" s="101"/>
      <c r="F29" s="101"/>
      <c r="G29" s="102">
        <v>23</v>
      </c>
      <c r="H29" s="107">
        <f>36200*E2</f>
        <v>36200</v>
      </c>
      <c r="I29" s="101"/>
      <c r="J29" s="101"/>
      <c r="K29" s="101"/>
      <c r="T29" s="18"/>
      <c r="U29" s="18"/>
    </row>
    <row r="30" spans="1:21" ht="12.75" customHeight="1">
      <c r="A30" s="101"/>
      <c r="B30" s="102">
        <v>24</v>
      </c>
      <c r="C30" s="107">
        <f>10200*E2</f>
        <v>10200</v>
      </c>
      <c r="D30" s="101"/>
      <c r="E30" s="101"/>
      <c r="F30" s="101"/>
      <c r="G30" s="102">
        <v>24</v>
      </c>
      <c r="H30" s="107">
        <f>37200*E2</f>
        <v>37200</v>
      </c>
      <c r="I30" s="101"/>
      <c r="J30" s="101"/>
      <c r="K30" s="101"/>
      <c r="T30" s="18"/>
      <c r="U30" s="18"/>
    </row>
    <row r="31" spans="1:21" ht="12.75" customHeight="1">
      <c r="A31" s="101"/>
      <c r="B31" s="102">
        <v>25</v>
      </c>
      <c r="C31" s="109">
        <f>10500*E2</f>
        <v>10500</v>
      </c>
      <c r="D31" s="101"/>
      <c r="E31" s="101"/>
      <c r="F31" s="101"/>
      <c r="G31" s="102">
        <v>25</v>
      </c>
      <c r="H31" s="107">
        <f>38200*E2</f>
        <v>38200</v>
      </c>
      <c r="I31" s="101"/>
      <c r="J31" s="101"/>
      <c r="K31" s="101"/>
      <c r="T31" s="18"/>
      <c r="U31" s="18"/>
    </row>
    <row r="32" spans="1:21" ht="12.75" customHeight="1">
      <c r="A32" s="101"/>
      <c r="B32" s="102">
        <v>26</v>
      </c>
      <c r="C32" s="107">
        <f>10800*E2</f>
        <v>10800</v>
      </c>
      <c r="D32" s="101"/>
      <c r="E32" s="101"/>
      <c r="F32" s="101"/>
      <c r="G32" s="102">
        <v>26</v>
      </c>
      <c r="H32" s="107">
        <f>39200*E2</f>
        <v>39200</v>
      </c>
      <c r="I32" s="101"/>
      <c r="J32" s="101"/>
      <c r="K32" s="101"/>
      <c r="T32" s="18"/>
      <c r="U32" s="18"/>
    </row>
    <row r="33" spans="1:21" ht="12.75" customHeight="1">
      <c r="A33" s="101"/>
      <c r="B33" s="102">
        <v>27</v>
      </c>
      <c r="C33" s="107">
        <f>11100*E2</f>
        <v>11100</v>
      </c>
      <c r="D33" s="101"/>
      <c r="E33" s="101"/>
      <c r="F33" s="101"/>
      <c r="G33" s="102">
        <v>27</v>
      </c>
      <c r="H33" s="107">
        <f>40200*E2</f>
        <v>40200</v>
      </c>
      <c r="I33" s="101"/>
      <c r="J33" s="101"/>
      <c r="K33" s="101"/>
      <c r="T33" s="18"/>
      <c r="U33" s="18"/>
    </row>
    <row r="34" spans="1:21" ht="12.75" customHeight="1">
      <c r="A34" s="101"/>
      <c r="B34" s="102">
        <v>28</v>
      </c>
      <c r="C34" s="107">
        <f>11400*E2</f>
        <v>11400</v>
      </c>
      <c r="D34" s="101"/>
      <c r="E34" s="101"/>
      <c r="F34" s="101"/>
      <c r="G34" s="102">
        <v>28</v>
      </c>
      <c r="H34" s="107">
        <f>41200*E2</f>
        <v>41200</v>
      </c>
      <c r="I34" s="101"/>
      <c r="J34" s="101"/>
      <c r="K34" s="101"/>
      <c r="T34" s="18"/>
      <c r="U34" s="18"/>
    </row>
    <row r="35" spans="1:21" ht="12.75" customHeight="1">
      <c r="A35" s="101"/>
      <c r="B35" s="102">
        <v>29</v>
      </c>
      <c r="C35" s="107">
        <f>11700*E2</f>
        <v>11700</v>
      </c>
      <c r="D35" s="101"/>
      <c r="E35" s="101"/>
      <c r="F35" s="101"/>
      <c r="G35" s="102">
        <v>29</v>
      </c>
      <c r="H35" s="107">
        <f>42200*E2</f>
        <v>42200</v>
      </c>
      <c r="I35" s="101"/>
      <c r="J35" s="101"/>
      <c r="K35" s="101"/>
      <c r="T35" s="18"/>
      <c r="U35" s="18"/>
    </row>
    <row r="36" spans="1:21" ht="12.75" customHeight="1">
      <c r="A36" s="101"/>
      <c r="B36" s="102">
        <v>30</v>
      </c>
      <c r="C36" s="109">
        <f>12000*E2</f>
        <v>12000</v>
      </c>
      <c r="D36" s="101"/>
      <c r="E36" s="101"/>
      <c r="F36" s="101"/>
      <c r="G36" s="102">
        <v>30</v>
      </c>
      <c r="H36" s="107">
        <f>43200*E2</f>
        <v>43200</v>
      </c>
      <c r="I36" s="101"/>
      <c r="J36" s="101"/>
      <c r="K36" s="101"/>
      <c r="T36" s="18"/>
      <c r="U36" s="18"/>
    </row>
    <row r="37" spans="1:21" ht="12.75" customHeight="1">
      <c r="A37" s="101"/>
      <c r="B37" s="102">
        <v>31</v>
      </c>
      <c r="C37" s="107">
        <f>12300*E2</f>
        <v>12300</v>
      </c>
      <c r="D37" s="101"/>
      <c r="E37" s="101"/>
      <c r="F37" s="101"/>
      <c r="G37" s="102">
        <v>31</v>
      </c>
      <c r="H37" s="107">
        <f>44200*E2</f>
        <v>44200</v>
      </c>
      <c r="I37" s="101"/>
      <c r="J37" s="101"/>
      <c r="K37" s="101"/>
      <c r="T37" s="18"/>
      <c r="U37" s="18"/>
    </row>
    <row r="38" spans="1:21" ht="12.75" customHeight="1">
      <c r="A38" s="101"/>
      <c r="B38" s="102">
        <v>32</v>
      </c>
      <c r="C38" s="107">
        <f>12600*E2</f>
        <v>12600</v>
      </c>
      <c r="D38" s="101"/>
      <c r="E38" s="101"/>
      <c r="F38" s="101"/>
      <c r="G38" s="102">
        <v>32</v>
      </c>
      <c r="H38" s="107">
        <f>45200*E2</f>
        <v>45200</v>
      </c>
      <c r="I38" s="101"/>
      <c r="J38" s="101"/>
      <c r="K38" s="101"/>
      <c r="T38" s="18"/>
      <c r="U38" s="18"/>
    </row>
    <row r="39" spans="1:21" ht="12.75" customHeight="1">
      <c r="A39" s="101"/>
      <c r="B39" s="102">
        <v>33</v>
      </c>
      <c r="C39" s="107">
        <f>12900*E2</f>
        <v>12900</v>
      </c>
      <c r="D39" s="101"/>
      <c r="E39" s="101"/>
      <c r="F39" s="101"/>
      <c r="G39" s="102">
        <v>33</v>
      </c>
      <c r="H39" s="107">
        <f>46200*E2</f>
        <v>46200</v>
      </c>
      <c r="I39" s="101"/>
      <c r="J39" s="101"/>
      <c r="K39" s="101"/>
      <c r="T39" s="18"/>
      <c r="U39" s="18"/>
    </row>
    <row r="40" spans="1:21" ht="12.75">
      <c r="A40" s="101"/>
      <c r="B40" s="102">
        <v>34</v>
      </c>
      <c r="C40" s="107">
        <f>13200*E2</f>
        <v>13200</v>
      </c>
      <c r="D40" s="101"/>
      <c r="E40" s="101"/>
      <c r="F40" s="101"/>
      <c r="G40" s="102">
        <v>34</v>
      </c>
      <c r="H40" s="107">
        <f>47200*E2</f>
        <v>47200</v>
      </c>
      <c r="I40" s="101"/>
      <c r="J40" s="101"/>
      <c r="K40" s="101"/>
      <c r="T40" s="18"/>
      <c r="U40" s="18"/>
    </row>
    <row r="41" spans="1:21" ht="12.75">
      <c r="A41" s="101"/>
      <c r="B41" s="102">
        <v>35</v>
      </c>
      <c r="C41" s="109">
        <f>13500*E2</f>
        <v>13500</v>
      </c>
      <c r="D41" s="101"/>
      <c r="E41" s="101"/>
      <c r="F41" s="101"/>
      <c r="G41" s="102">
        <v>35</v>
      </c>
      <c r="H41" s="107">
        <f>48200*E2</f>
        <v>48200</v>
      </c>
      <c r="I41" s="101"/>
      <c r="J41" s="101"/>
      <c r="K41" s="101"/>
      <c r="T41" s="18"/>
      <c r="U41" s="18"/>
    </row>
    <row r="42" spans="1:21" ht="12.75">
      <c r="A42" s="101"/>
      <c r="B42" s="102">
        <v>36</v>
      </c>
      <c r="C42" s="107">
        <f>13800*E2</f>
        <v>13800</v>
      </c>
      <c r="D42" s="101"/>
      <c r="E42" s="101"/>
      <c r="F42" s="101"/>
      <c r="G42" s="102">
        <v>36</v>
      </c>
      <c r="H42" s="107">
        <f>49200*E2</f>
        <v>49200</v>
      </c>
      <c r="I42" s="101"/>
      <c r="J42" s="101"/>
      <c r="K42" s="101"/>
      <c r="T42" s="18"/>
      <c r="U42" s="18"/>
    </row>
    <row r="43" spans="1:21" ht="12.75">
      <c r="A43" s="101"/>
      <c r="B43" s="102">
        <v>37</v>
      </c>
      <c r="C43" s="107">
        <f>14100*E2</f>
        <v>14100</v>
      </c>
      <c r="D43" s="101"/>
      <c r="E43" s="101"/>
      <c r="F43" s="101"/>
      <c r="G43" s="102">
        <v>37</v>
      </c>
      <c r="H43" s="107">
        <f>50200*E2</f>
        <v>50200</v>
      </c>
      <c r="I43" s="101"/>
      <c r="J43" s="101"/>
      <c r="K43" s="101"/>
      <c r="T43" s="18"/>
      <c r="U43" s="18"/>
    </row>
    <row r="44" spans="1:21" ht="12.75">
      <c r="A44" s="101"/>
      <c r="B44" s="102">
        <v>38</v>
      </c>
      <c r="C44" s="107">
        <f>14400*E2</f>
        <v>14400</v>
      </c>
      <c r="D44" s="101"/>
      <c r="E44" s="101"/>
      <c r="F44" s="101"/>
      <c r="G44" s="102">
        <v>38</v>
      </c>
      <c r="H44" s="107">
        <f>51200*E2</f>
        <v>51200</v>
      </c>
      <c r="I44" s="101"/>
      <c r="J44" s="101"/>
      <c r="K44" s="108"/>
      <c r="L44" s="111"/>
      <c r="T44" s="18"/>
      <c r="U44" s="18"/>
    </row>
    <row r="45" spans="1:21" ht="12.75">
      <c r="A45" s="101"/>
      <c r="B45" s="102">
        <v>39</v>
      </c>
      <c r="C45" s="107">
        <f>14700*E2</f>
        <v>14700</v>
      </c>
      <c r="D45" s="101"/>
      <c r="E45" s="101"/>
      <c r="F45" s="101"/>
      <c r="G45" s="102">
        <v>39</v>
      </c>
      <c r="H45" s="107">
        <f>52200*E2</f>
        <v>52200</v>
      </c>
      <c r="I45" s="101"/>
      <c r="J45" s="101"/>
      <c r="K45" s="108"/>
      <c r="L45" s="111"/>
      <c r="T45" s="18"/>
      <c r="U45" s="18"/>
    </row>
    <row r="46" spans="1:21" ht="12.75">
      <c r="A46" s="101"/>
      <c r="B46" s="102">
        <v>40</v>
      </c>
      <c r="C46" s="109">
        <f>15000*E2</f>
        <v>15000</v>
      </c>
      <c r="D46" s="101"/>
      <c r="E46" s="101"/>
      <c r="F46" s="101"/>
      <c r="G46" s="102">
        <v>40</v>
      </c>
      <c r="H46" s="107">
        <f>53200*E2</f>
        <v>53200</v>
      </c>
      <c r="I46" s="101"/>
      <c r="J46" s="101"/>
      <c r="K46" s="108"/>
      <c r="L46" s="111"/>
      <c r="T46" s="18"/>
      <c r="U46" s="18"/>
    </row>
    <row r="47" spans="1:21" ht="12.75">
      <c r="A47" s="101"/>
      <c r="B47" s="102">
        <v>41</v>
      </c>
      <c r="C47" s="107">
        <f>15200*E2</f>
        <v>15200</v>
      </c>
      <c r="D47" s="101"/>
      <c r="E47" s="101"/>
      <c r="F47" s="101"/>
      <c r="G47" s="102">
        <v>41</v>
      </c>
      <c r="H47" s="107">
        <f>54200*E2</f>
        <v>54200</v>
      </c>
      <c r="I47" s="101"/>
      <c r="J47" s="101"/>
      <c r="K47" s="108"/>
      <c r="L47" s="111"/>
      <c r="M47" s="112"/>
      <c r="N47" s="18"/>
      <c r="O47" s="112"/>
      <c r="P47" s="18"/>
      <c r="Q47" s="18"/>
      <c r="R47" s="18"/>
      <c r="S47" s="18"/>
      <c r="T47" s="18"/>
      <c r="U47" s="18"/>
    </row>
    <row r="48" spans="1:21" ht="12.75">
      <c r="A48" s="101"/>
      <c r="B48" s="102">
        <v>42</v>
      </c>
      <c r="C48" s="107">
        <f>15400*E2</f>
        <v>15400</v>
      </c>
      <c r="D48" s="101"/>
      <c r="E48" s="101"/>
      <c r="F48" s="101"/>
      <c r="G48" s="102">
        <v>42</v>
      </c>
      <c r="H48" s="107">
        <f>55200*E2</f>
        <v>55200</v>
      </c>
      <c r="I48" s="113"/>
      <c r="J48" s="108"/>
      <c r="K48" s="114"/>
      <c r="L48" s="18"/>
      <c r="M48" s="112"/>
      <c r="N48" s="18"/>
      <c r="O48" s="112"/>
      <c r="P48" s="18"/>
      <c r="Q48" s="18"/>
      <c r="R48" s="18"/>
      <c r="S48" s="18"/>
      <c r="T48" s="18"/>
      <c r="U48" s="18"/>
    </row>
    <row r="49" spans="1:21" ht="12.75">
      <c r="A49" s="101"/>
      <c r="B49" s="102">
        <v>43</v>
      </c>
      <c r="C49" s="107">
        <f>15600*E2</f>
        <v>15600</v>
      </c>
      <c r="D49" s="101"/>
      <c r="E49" s="101"/>
      <c r="F49" s="101"/>
      <c r="G49" s="102">
        <v>43</v>
      </c>
      <c r="H49" s="107">
        <f>56200*E2</f>
        <v>56200</v>
      </c>
      <c r="I49" s="113"/>
      <c r="J49" s="108"/>
      <c r="K49" s="114"/>
      <c r="L49" s="18"/>
      <c r="M49" s="112"/>
      <c r="N49" s="18"/>
      <c r="O49" s="112"/>
      <c r="P49" s="18"/>
      <c r="Q49" s="18"/>
      <c r="R49" s="18"/>
      <c r="S49" s="18"/>
      <c r="T49" s="18"/>
      <c r="U49" s="18"/>
    </row>
    <row r="50" spans="1:21" ht="12.75">
      <c r="A50" s="101"/>
      <c r="B50" s="102">
        <v>44</v>
      </c>
      <c r="C50" s="107">
        <f>15800*E2</f>
        <v>15800</v>
      </c>
      <c r="D50" s="101"/>
      <c r="E50" s="101"/>
      <c r="F50" s="101"/>
      <c r="G50" s="102">
        <v>44</v>
      </c>
      <c r="H50" s="107">
        <f>57200*E2</f>
        <v>57200</v>
      </c>
      <c r="I50" s="113"/>
      <c r="J50" s="108"/>
      <c r="K50" s="114"/>
      <c r="L50" s="18"/>
      <c r="M50" s="112"/>
      <c r="N50" s="18"/>
      <c r="O50" s="112"/>
      <c r="P50" s="18"/>
      <c r="Q50" s="18"/>
      <c r="R50" s="18"/>
      <c r="S50" s="18"/>
      <c r="T50" s="18"/>
      <c r="U50" s="18"/>
    </row>
    <row r="51" spans="1:21" ht="12.75">
      <c r="A51" s="101"/>
      <c r="B51" s="102">
        <v>45</v>
      </c>
      <c r="C51" s="109">
        <f>16000*E2</f>
        <v>16000</v>
      </c>
      <c r="D51" s="101"/>
      <c r="E51" s="101"/>
      <c r="F51" s="101"/>
      <c r="G51" s="102">
        <v>45</v>
      </c>
      <c r="H51" s="107">
        <f>58200*E2</f>
        <v>58200</v>
      </c>
      <c r="I51" s="101"/>
      <c r="J51" s="101"/>
      <c r="K51" s="101"/>
      <c r="T51" s="18"/>
      <c r="U51" s="18"/>
    </row>
    <row r="52" spans="1:11" s="99" customFormat="1" ht="15.75" customHeight="1">
      <c r="A52" s="101"/>
      <c r="B52" s="102">
        <v>46</v>
      </c>
      <c r="C52" s="107">
        <f>16200*E2</f>
        <v>16200</v>
      </c>
      <c r="D52" s="101"/>
      <c r="E52" s="101"/>
      <c r="F52" s="101"/>
      <c r="G52" s="102">
        <v>46</v>
      </c>
      <c r="H52" s="107">
        <f>59200*E2</f>
        <v>59200</v>
      </c>
      <c r="I52" s="101"/>
      <c r="J52" s="101"/>
      <c r="K52" s="101"/>
    </row>
    <row r="53" spans="1:11" s="99" customFormat="1" ht="15.75" customHeight="1">
      <c r="A53" s="101"/>
      <c r="B53" s="102">
        <v>47</v>
      </c>
      <c r="C53" s="107">
        <f>16400*E2</f>
        <v>16400</v>
      </c>
      <c r="D53" s="101"/>
      <c r="E53" s="101"/>
      <c r="F53" s="101"/>
      <c r="G53" s="102">
        <v>47</v>
      </c>
      <c r="H53" s="107">
        <f>60200*E2</f>
        <v>60200</v>
      </c>
      <c r="I53" s="101"/>
      <c r="J53" s="101"/>
      <c r="K53" s="101"/>
    </row>
    <row r="54" spans="1:11" ht="12.75">
      <c r="A54" s="101"/>
      <c r="B54" s="102">
        <v>48</v>
      </c>
      <c r="C54" s="107">
        <f>16600*E2</f>
        <v>16600</v>
      </c>
      <c r="D54" s="101"/>
      <c r="E54" s="101"/>
      <c r="F54" s="101"/>
      <c r="G54" s="102">
        <v>48</v>
      </c>
      <c r="H54" s="107">
        <f>61200*E2</f>
        <v>61200</v>
      </c>
      <c r="I54" s="101"/>
      <c r="J54" s="101"/>
      <c r="K54" s="101"/>
    </row>
    <row r="55" spans="1:35" ht="12.75" customHeight="1">
      <c r="A55" s="101"/>
      <c r="B55" s="102">
        <v>49</v>
      </c>
      <c r="C55" s="107">
        <f>16800*E2</f>
        <v>16800</v>
      </c>
      <c r="D55" s="101"/>
      <c r="E55" s="101"/>
      <c r="F55" s="101"/>
      <c r="G55" s="102">
        <v>49</v>
      </c>
      <c r="H55" s="107">
        <f>62250*E2</f>
        <v>62250</v>
      </c>
      <c r="I55" s="101"/>
      <c r="J55" s="101"/>
      <c r="K55" s="101"/>
      <c r="T55" s="19"/>
      <c r="U55" s="19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</row>
    <row r="56" spans="1:21" ht="12.75" customHeight="1">
      <c r="A56" s="101"/>
      <c r="B56" s="102">
        <v>50</v>
      </c>
      <c r="C56" s="109">
        <f>17000*E2</f>
        <v>17000</v>
      </c>
      <c r="D56" s="101"/>
      <c r="E56" s="101"/>
      <c r="F56" s="101"/>
      <c r="G56" s="102">
        <v>50</v>
      </c>
      <c r="H56" s="107">
        <f>63200*E2</f>
        <v>63200</v>
      </c>
      <c r="J56" s="101"/>
      <c r="K56" s="101"/>
      <c r="T56" s="18"/>
      <c r="U56" s="18"/>
    </row>
    <row r="57" spans="1:21" ht="12.75" customHeight="1">
      <c r="A57" s="101"/>
      <c r="B57" s="102">
        <v>51</v>
      </c>
      <c r="C57" s="107">
        <f>17200*E2</f>
        <v>17200</v>
      </c>
      <c r="D57" s="101"/>
      <c r="E57" s="101"/>
      <c r="F57" s="115" t="s">
        <v>300</v>
      </c>
      <c r="G57" s="102"/>
      <c r="H57" s="116">
        <f>800*E2</f>
        <v>800</v>
      </c>
      <c r="I57" s="101" t="s">
        <v>301</v>
      </c>
      <c r="J57" s="101"/>
      <c r="K57" s="101"/>
      <c r="T57" s="18"/>
      <c r="U57" s="18"/>
    </row>
    <row r="58" spans="1:21" ht="12.75" customHeight="1">
      <c r="A58" s="101"/>
      <c r="B58" s="102">
        <v>52</v>
      </c>
      <c r="C58" s="107">
        <f>17400*E2</f>
        <v>17400</v>
      </c>
      <c r="D58" s="101"/>
      <c r="E58" s="101"/>
      <c r="F58" s="101"/>
      <c r="G58" s="101"/>
      <c r="H58" s="101"/>
      <c r="I58" s="101"/>
      <c r="J58" s="101"/>
      <c r="K58" s="101"/>
      <c r="T58" s="18"/>
      <c r="U58" s="18"/>
    </row>
    <row r="59" spans="1:21" ht="12.75" customHeight="1">
      <c r="A59" s="101"/>
      <c r="B59" s="102">
        <v>53</v>
      </c>
      <c r="C59" s="107">
        <f>17600*E2</f>
        <v>17600</v>
      </c>
      <c r="D59" s="101"/>
      <c r="E59" s="101"/>
      <c r="F59" s="101"/>
      <c r="G59" s="101"/>
      <c r="H59" s="101"/>
      <c r="I59" s="101"/>
      <c r="J59" s="101"/>
      <c r="K59" s="101"/>
      <c r="T59" s="18"/>
      <c r="U59" s="18"/>
    </row>
    <row r="60" spans="1:21" ht="12.75" customHeight="1">
      <c r="A60" s="101"/>
      <c r="B60" s="102">
        <v>54</v>
      </c>
      <c r="C60" s="107">
        <f>17800*E2</f>
        <v>17800</v>
      </c>
      <c r="D60" s="101"/>
      <c r="E60" s="101"/>
      <c r="F60" s="101"/>
      <c r="G60" s="101"/>
      <c r="H60" s="101"/>
      <c r="I60" s="101"/>
      <c r="J60" s="101"/>
      <c r="K60" s="101"/>
      <c r="T60" s="18"/>
      <c r="U60" s="18"/>
    </row>
    <row r="61" spans="1:21" ht="12.75" customHeight="1">
      <c r="A61" s="101"/>
      <c r="B61" s="102">
        <v>55</v>
      </c>
      <c r="C61" s="109">
        <f>18000*E2</f>
        <v>18000</v>
      </c>
      <c r="D61" s="101"/>
      <c r="E61" s="101"/>
      <c r="F61" s="101"/>
      <c r="G61" s="101"/>
      <c r="H61" s="101"/>
      <c r="I61" s="101"/>
      <c r="J61" s="101"/>
      <c r="K61" s="101"/>
      <c r="T61" s="18"/>
      <c r="U61" s="18"/>
    </row>
    <row r="62" spans="1:11" ht="12.75">
      <c r="A62" s="101"/>
      <c r="B62" s="102">
        <v>56</v>
      </c>
      <c r="C62" s="107">
        <f>18200*E2</f>
        <v>18200</v>
      </c>
      <c r="D62" s="101"/>
      <c r="E62" s="101"/>
      <c r="F62" s="101"/>
      <c r="G62" s="101"/>
      <c r="H62" s="101"/>
      <c r="I62" s="101"/>
      <c r="J62" s="101"/>
      <c r="K62" s="101"/>
    </row>
    <row r="63" spans="1:11" ht="12.75">
      <c r="A63" s="101"/>
      <c r="B63" s="102">
        <v>57</v>
      </c>
      <c r="C63" s="107">
        <f>18400*E2</f>
        <v>18400</v>
      </c>
      <c r="D63" s="101"/>
      <c r="E63" s="101"/>
      <c r="F63" s="101"/>
      <c r="G63" s="101"/>
      <c r="H63" s="101"/>
      <c r="I63" s="101"/>
      <c r="J63" s="101"/>
      <c r="K63" s="101"/>
    </row>
    <row r="64" spans="1:11" ht="12.75">
      <c r="A64" s="101"/>
      <c r="B64" s="102">
        <v>58</v>
      </c>
      <c r="C64" s="107">
        <f>18600*E2</f>
        <v>18600</v>
      </c>
      <c r="D64" s="101"/>
      <c r="E64" s="101"/>
      <c r="F64" s="101"/>
      <c r="G64" s="101"/>
      <c r="H64" s="101"/>
      <c r="I64" s="101"/>
      <c r="J64" s="101"/>
      <c r="K64" s="101"/>
    </row>
    <row r="65" spans="1:11" ht="12.75">
      <c r="A65" s="101"/>
      <c r="B65" s="102">
        <v>59</v>
      </c>
      <c r="C65" s="107">
        <f>18800*E2</f>
        <v>18800</v>
      </c>
      <c r="D65" s="101"/>
      <c r="E65" s="101"/>
      <c r="F65" s="101"/>
      <c r="G65" s="101"/>
      <c r="H65" s="101"/>
      <c r="I65" s="101"/>
      <c r="J65" s="101"/>
      <c r="K65" s="101"/>
    </row>
    <row r="66" spans="1:11" ht="12.75">
      <c r="A66" s="101"/>
      <c r="B66" s="102">
        <v>60</v>
      </c>
      <c r="C66" s="109">
        <f>19000*E2</f>
        <v>19000</v>
      </c>
      <c r="D66" s="101"/>
      <c r="E66" s="101"/>
      <c r="F66" s="101"/>
      <c r="G66" s="101"/>
      <c r="H66" s="101"/>
      <c r="I66" s="101"/>
      <c r="J66" s="101"/>
      <c r="K66" s="101"/>
    </row>
    <row r="67" spans="1:11" ht="12.75">
      <c r="A67" s="101"/>
      <c r="B67" s="102">
        <v>61</v>
      </c>
      <c r="C67" s="107">
        <f>19200*E2</f>
        <v>19200</v>
      </c>
      <c r="D67" s="101"/>
      <c r="E67" s="101"/>
      <c r="F67" s="101"/>
      <c r="G67" s="101"/>
      <c r="H67" s="101"/>
      <c r="I67" s="101"/>
      <c r="J67" s="101"/>
      <c r="K67" s="101"/>
    </row>
    <row r="68" spans="1:11" ht="12.75">
      <c r="A68" s="101"/>
      <c r="B68" s="102">
        <v>62</v>
      </c>
      <c r="C68" s="107">
        <f>19400*E2</f>
        <v>19400</v>
      </c>
      <c r="D68" s="101"/>
      <c r="E68" s="101"/>
      <c r="F68" s="101"/>
      <c r="G68" s="101"/>
      <c r="H68" s="101"/>
      <c r="I68" s="101"/>
      <c r="J68" s="101"/>
      <c r="K68" s="101"/>
    </row>
    <row r="69" spans="1:11" ht="12.75">
      <c r="A69" s="101"/>
      <c r="B69" s="102">
        <v>63</v>
      </c>
      <c r="C69" s="107">
        <f>19600*E2</f>
        <v>19600</v>
      </c>
      <c r="D69" s="101"/>
      <c r="E69" s="101"/>
      <c r="F69" s="101"/>
      <c r="G69" s="101"/>
      <c r="H69" s="101"/>
      <c r="I69" s="101"/>
      <c r="J69" s="101"/>
      <c r="K69" s="101"/>
    </row>
    <row r="70" spans="1:11" ht="12.75">
      <c r="A70" s="101"/>
      <c r="B70" s="102">
        <v>64</v>
      </c>
      <c r="C70" s="107">
        <f>19800*E2</f>
        <v>19800</v>
      </c>
      <c r="D70" s="101"/>
      <c r="E70" s="101"/>
      <c r="F70" s="101"/>
      <c r="G70" s="101"/>
      <c r="H70" s="101"/>
      <c r="I70" s="101"/>
      <c r="J70" s="101"/>
      <c r="K70" s="101"/>
    </row>
    <row r="71" spans="1:11" ht="12.75">
      <c r="A71" s="101"/>
      <c r="B71" s="102">
        <v>65</v>
      </c>
      <c r="C71" s="109">
        <f>20000*E2</f>
        <v>20000</v>
      </c>
      <c r="D71" s="101"/>
      <c r="E71" s="101"/>
      <c r="F71" s="101"/>
      <c r="G71" s="101"/>
      <c r="H71" s="101"/>
      <c r="I71" s="101"/>
      <c r="J71" s="101"/>
      <c r="K71" s="101"/>
    </row>
    <row r="72" spans="1:11" ht="12.75">
      <c r="A72" s="101"/>
      <c r="B72" s="102">
        <v>66</v>
      </c>
      <c r="C72" s="107">
        <f>20200*E2</f>
        <v>20200</v>
      </c>
      <c r="D72" s="101"/>
      <c r="E72" s="101"/>
      <c r="F72" s="101"/>
      <c r="G72" s="101"/>
      <c r="H72" s="101"/>
      <c r="I72" s="101"/>
      <c r="J72" s="101"/>
      <c r="K72" s="101"/>
    </row>
    <row r="73" spans="1:11" ht="12.75">
      <c r="A73" s="101"/>
      <c r="B73" s="102">
        <v>67</v>
      </c>
      <c r="C73" s="107">
        <f>20400*E2</f>
        <v>20400</v>
      </c>
      <c r="D73" s="101"/>
      <c r="E73" s="101"/>
      <c r="F73" s="101"/>
      <c r="G73" s="101"/>
      <c r="H73" s="101"/>
      <c r="I73" s="101"/>
      <c r="J73" s="101"/>
      <c r="K73" s="101"/>
    </row>
    <row r="74" spans="1:11" ht="12.75">
      <c r="A74" s="101"/>
      <c r="B74" s="102">
        <v>68</v>
      </c>
      <c r="C74" s="107">
        <f>20600*E2</f>
        <v>20600</v>
      </c>
      <c r="D74" s="101"/>
      <c r="E74" s="101"/>
      <c r="F74" s="101"/>
      <c r="G74" s="101"/>
      <c r="H74" s="101"/>
      <c r="I74" s="101"/>
      <c r="J74" s="101"/>
      <c r="K74" s="101"/>
    </row>
    <row r="75" spans="1:11" ht="12.75">
      <c r="A75" s="101"/>
      <c r="B75" s="102">
        <v>69</v>
      </c>
      <c r="C75" s="107">
        <f>20800*E2</f>
        <v>20800</v>
      </c>
      <c r="D75" s="101"/>
      <c r="E75" s="101"/>
      <c r="F75" s="101"/>
      <c r="G75" s="101"/>
      <c r="H75" s="101"/>
      <c r="I75" s="101"/>
      <c r="J75" s="101"/>
      <c r="K75" s="101"/>
    </row>
    <row r="76" spans="1:11" ht="12.75">
      <c r="A76" s="101"/>
      <c r="B76" s="102">
        <v>70</v>
      </c>
      <c r="C76" s="109">
        <f>21000*E2</f>
        <v>21000</v>
      </c>
      <c r="D76" s="101"/>
      <c r="E76" s="101"/>
      <c r="F76" s="101"/>
      <c r="G76" s="101"/>
      <c r="H76" s="101"/>
      <c r="I76" s="101"/>
      <c r="J76" s="101"/>
      <c r="K76" s="101"/>
    </row>
    <row r="77" spans="1:11" ht="12.75">
      <c r="A77" s="101"/>
      <c r="B77" s="102">
        <v>71</v>
      </c>
      <c r="C77" s="107">
        <f>21200*E2</f>
        <v>21200</v>
      </c>
      <c r="D77" s="101"/>
      <c r="E77" s="101"/>
      <c r="F77" s="101"/>
      <c r="G77" s="101"/>
      <c r="H77" s="101"/>
      <c r="I77" s="101"/>
      <c r="J77" s="101"/>
      <c r="K77" s="101"/>
    </row>
    <row r="78" spans="1:11" ht="12.75">
      <c r="A78" s="101"/>
      <c r="B78" s="102">
        <v>72</v>
      </c>
      <c r="C78" s="107">
        <f>21400*E2</f>
        <v>21400</v>
      </c>
      <c r="D78" s="101"/>
      <c r="E78" s="101"/>
      <c r="F78" s="101"/>
      <c r="G78" s="101"/>
      <c r="H78" s="101"/>
      <c r="I78" s="101"/>
      <c r="J78" s="101"/>
      <c r="K78" s="101"/>
    </row>
    <row r="79" spans="1:11" ht="12.75">
      <c r="A79" s="101"/>
      <c r="B79" s="102">
        <v>73</v>
      </c>
      <c r="C79" s="107">
        <f>21600*E2</f>
        <v>21600</v>
      </c>
      <c r="D79" s="101"/>
      <c r="E79" s="101"/>
      <c r="F79" s="101"/>
      <c r="G79" s="101"/>
      <c r="H79" s="101"/>
      <c r="I79" s="101"/>
      <c r="J79" s="101"/>
      <c r="K79" s="101"/>
    </row>
    <row r="80" spans="1:11" ht="12.75">
      <c r="A80" s="101"/>
      <c r="B80" s="102">
        <v>74</v>
      </c>
      <c r="C80" s="107">
        <f>21800*E2</f>
        <v>21800</v>
      </c>
      <c r="D80" s="101"/>
      <c r="E80" s="101"/>
      <c r="F80" s="101"/>
      <c r="G80" s="101"/>
      <c r="H80" s="101"/>
      <c r="I80" s="101"/>
      <c r="J80" s="101"/>
      <c r="K80" s="101"/>
    </row>
    <row r="81" spans="1:11" ht="12.75">
      <c r="A81" s="101"/>
      <c r="B81" s="102">
        <v>75</v>
      </c>
      <c r="C81" s="109">
        <f>22000*E2</f>
        <v>22000</v>
      </c>
      <c r="D81" s="101"/>
      <c r="E81" s="101"/>
      <c r="F81" s="101"/>
      <c r="G81" s="101"/>
      <c r="H81" s="101"/>
      <c r="I81" s="101"/>
      <c r="J81" s="101"/>
      <c r="K81" s="101"/>
    </row>
    <row r="82" spans="1:11" ht="12.75">
      <c r="A82" s="101"/>
      <c r="B82" s="102">
        <v>76</v>
      </c>
      <c r="C82" s="107">
        <f>22200*E2</f>
        <v>22200</v>
      </c>
      <c r="D82" s="101"/>
      <c r="E82" s="101"/>
      <c r="F82" s="101"/>
      <c r="G82" s="101"/>
      <c r="H82" s="101"/>
      <c r="I82" s="101"/>
      <c r="J82" s="101"/>
      <c r="K82" s="101"/>
    </row>
    <row r="83" spans="1:11" ht="12.75">
      <c r="A83" s="101"/>
      <c r="B83" s="102">
        <v>77</v>
      </c>
      <c r="C83" s="107">
        <f>22400*E2</f>
        <v>22400</v>
      </c>
      <c r="D83" s="101"/>
      <c r="E83" s="101"/>
      <c r="F83" s="101"/>
      <c r="G83" s="101"/>
      <c r="H83" s="101"/>
      <c r="I83" s="101"/>
      <c r="J83" s="101"/>
      <c r="K83" s="101"/>
    </row>
    <row r="84" spans="1:11" ht="12.75">
      <c r="A84" s="101"/>
      <c r="B84" s="102">
        <v>78</v>
      </c>
      <c r="C84" s="107">
        <f>22600*E2</f>
        <v>22600</v>
      </c>
      <c r="D84" s="101"/>
      <c r="E84" s="101"/>
      <c r="F84" s="101"/>
      <c r="G84" s="101"/>
      <c r="H84" s="101"/>
      <c r="I84" s="101"/>
      <c r="J84" s="101"/>
      <c r="K84" s="101"/>
    </row>
    <row r="85" spans="1:11" ht="12.75">
      <c r="A85" s="101"/>
      <c r="B85" s="102">
        <v>79</v>
      </c>
      <c r="C85" s="107">
        <f>22800*E2</f>
        <v>22800</v>
      </c>
      <c r="D85" s="101"/>
      <c r="E85" s="101"/>
      <c r="F85" s="101"/>
      <c r="G85" s="101"/>
      <c r="H85" s="101"/>
      <c r="I85" s="101"/>
      <c r="J85" s="101"/>
      <c r="K85" s="101"/>
    </row>
    <row r="86" spans="1:11" ht="12.75">
      <c r="A86" s="101"/>
      <c r="B86" s="102">
        <v>80</v>
      </c>
      <c r="C86" s="109">
        <f>23000*E2</f>
        <v>23000</v>
      </c>
      <c r="D86" s="101"/>
      <c r="E86" s="101"/>
      <c r="F86" s="101"/>
      <c r="G86" s="101"/>
      <c r="H86" s="101"/>
      <c r="I86" s="101"/>
      <c r="J86" s="101"/>
      <c r="K86" s="101"/>
    </row>
    <row r="87" spans="1:11" ht="12.75">
      <c r="A87" s="101"/>
      <c r="B87" s="102">
        <v>81</v>
      </c>
      <c r="C87" s="107">
        <f>23200*E2</f>
        <v>23200</v>
      </c>
      <c r="D87" s="101"/>
      <c r="E87" s="101"/>
      <c r="F87" s="101"/>
      <c r="G87" s="101"/>
      <c r="H87" s="101"/>
      <c r="I87" s="101"/>
      <c r="J87" s="101"/>
      <c r="K87" s="101"/>
    </row>
    <row r="88" spans="1:11" ht="12.75">
      <c r="A88" s="101"/>
      <c r="B88" s="102">
        <v>82</v>
      </c>
      <c r="C88" s="107">
        <f>23400*E2</f>
        <v>23400</v>
      </c>
      <c r="D88" s="101"/>
      <c r="E88" s="101"/>
      <c r="F88" s="101"/>
      <c r="G88" s="101"/>
      <c r="H88" s="101"/>
      <c r="I88" s="101"/>
      <c r="J88" s="101"/>
      <c r="K88" s="101"/>
    </row>
    <row r="89" spans="1:11" ht="12.75">
      <c r="A89" s="101"/>
      <c r="B89" s="102">
        <v>83</v>
      </c>
      <c r="C89" s="107">
        <f>23600*E2</f>
        <v>23600</v>
      </c>
      <c r="D89" s="101"/>
      <c r="E89" s="101"/>
      <c r="F89" s="101"/>
      <c r="G89" s="101"/>
      <c r="H89" s="101"/>
      <c r="I89" s="101"/>
      <c r="J89" s="101"/>
      <c r="K89" s="101"/>
    </row>
    <row r="90" spans="1:11" ht="12.75">
      <c r="A90" s="101"/>
      <c r="B90" s="102">
        <v>84</v>
      </c>
      <c r="C90" s="107">
        <f>23800*E2</f>
        <v>23800</v>
      </c>
      <c r="D90" s="101"/>
      <c r="E90" s="101"/>
      <c r="F90" s="101"/>
      <c r="G90" s="101"/>
      <c r="H90" s="101"/>
      <c r="I90" s="101"/>
      <c r="J90" s="101"/>
      <c r="K90" s="101"/>
    </row>
    <row r="91" spans="1:11" ht="12.75">
      <c r="A91" s="101"/>
      <c r="B91" s="102">
        <v>85</v>
      </c>
      <c r="C91" s="109">
        <f>24000*E2</f>
        <v>24000</v>
      </c>
      <c r="D91" s="101"/>
      <c r="E91" s="101"/>
      <c r="F91" s="101"/>
      <c r="G91" s="101"/>
      <c r="H91" s="101"/>
      <c r="I91" s="101"/>
      <c r="J91" s="101"/>
      <c r="K91" s="101"/>
    </row>
    <row r="92" spans="1:11" ht="12.75">
      <c r="A92" s="101"/>
      <c r="B92" s="102">
        <v>86</v>
      </c>
      <c r="C92" s="107">
        <f>24200*E2</f>
        <v>24200</v>
      </c>
      <c r="D92" s="101"/>
      <c r="E92" s="101"/>
      <c r="F92" s="101"/>
      <c r="G92" s="101"/>
      <c r="H92" s="101"/>
      <c r="I92" s="101"/>
      <c r="J92" s="101"/>
      <c r="K92" s="101"/>
    </row>
    <row r="93" spans="1:11" ht="12.75">
      <c r="A93" s="101"/>
      <c r="B93" s="102">
        <v>87</v>
      </c>
      <c r="C93" s="107">
        <f>24400*E2</f>
        <v>24400</v>
      </c>
      <c r="D93" s="101"/>
      <c r="E93" s="101"/>
      <c r="F93" s="101"/>
      <c r="G93" s="101"/>
      <c r="H93" s="101"/>
      <c r="I93" s="101"/>
      <c r="J93" s="101"/>
      <c r="K93" s="101"/>
    </row>
    <row r="94" spans="1:11" ht="12.75">
      <c r="A94" s="101"/>
      <c r="B94" s="102">
        <v>88</v>
      </c>
      <c r="C94" s="107">
        <f>24600*E2</f>
        <v>24600</v>
      </c>
      <c r="D94" s="101"/>
      <c r="E94" s="101"/>
      <c r="F94" s="101"/>
      <c r="G94" s="101"/>
      <c r="H94" s="101"/>
      <c r="I94" s="101"/>
      <c r="J94" s="101"/>
      <c r="K94" s="101"/>
    </row>
    <row r="95" spans="1:11" ht="12.75">
      <c r="A95" s="101"/>
      <c r="B95" s="102">
        <v>89</v>
      </c>
      <c r="C95" s="107">
        <f>24800*E2</f>
        <v>24800</v>
      </c>
      <c r="D95" s="101"/>
      <c r="E95" s="101"/>
      <c r="F95" s="101"/>
      <c r="G95" s="101"/>
      <c r="H95" s="101"/>
      <c r="I95" s="101"/>
      <c r="J95" s="101"/>
      <c r="K95" s="101"/>
    </row>
    <row r="96" spans="1:11" ht="12.75">
      <c r="A96" s="101"/>
      <c r="B96" s="102">
        <v>90</v>
      </c>
      <c r="C96" s="109">
        <f>25000*E2</f>
        <v>25000</v>
      </c>
      <c r="D96" s="101"/>
      <c r="E96" s="101"/>
      <c r="F96" s="101"/>
      <c r="G96" s="101"/>
      <c r="H96" s="101"/>
      <c r="I96" s="101"/>
      <c r="J96" s="101"/>
      <c r="K96" s="101"/>
    </row>
    <row r="97" spans="1:11" ht="12.75">
      <c r="A97" s="101"/>
      <c r="B97" s="102">
        <v>91</v>
      </c>
      <c r="C97" s="107">
        <f>25200*E2</f>
        <v>25200</v>
      </c>
      <c r="D97" s="101"/>
      <c r="E97" s="101"/>
      <c r="F97" s="101"/>
      <c r="G97" s="101"/>
      <c r="H97" s="101"/>
      <c r="I97" s="101"/>
      <c r="J97" s="101"/>
      <c r="K97" s="101"/>
    </row>
    <row r="98" spans="1:11" ht="12.75">
      <c r="A98" s="101"/>
      <c r="B98" s="102">
        <v>92</v>
      </c>
      <c r="C98" s="107">
        <f>25400*E2</f>
        <v>25400</v>
      </c>
      <c r="D98" s="101"/>
      <c r="E98" s="101"/>
      <c r="F98" s="101"/>
      <c r="G98" s="101"/>
      <c r="H98" s="101"/>
      <c r="I98" s="101"/>
      <c r="J98" s="101"/>
      <c r="K98" s="101"/>
    </row>
    <row r="99" spans="1:11" ht="12.75">
      <c r="A99" s="101"/>
      <c r="B99" s="102">
        <v>93</v>
      </c>
      <c r="C99" s="107">
        <f>25600*E2</f>
        <v>25600</v>
      </c>
      <c r="D99" s="101"/>
      <c r="E99" s="101"/>
      <c r="F99" s="101"/>
      <c r="G99" s="101"/>
      <c r="H99" s="101"/>
      <c r="I99" s="101"/>
      <c r="J99" s="101"/>
      <c r="K99" s="101"/>
    </row>
    <row r="100" spans="1:11" ht="12.75">
      <c r="A100" s="101"/>
      <c r="B100" s="102">
        <v>94</v>
      </c>
      <c r="C100" s="107">
        <f>25800*E2</f>
        <v>25800</v>
      </c>
      <c r="D100" s="101"/>
      <c r="E100" s="101"/>
      <c r="F100" s="101"/>
      <c r="G100" s="101"/>
      <c r="H100" s="101"/>
      <c r="I100" s="101"/>
      <c r="J100" s="101"/>
      <c r="K100" s="101"/>
    </row>
    <row r="101" spans="1:11" ht="12.75">
      <c r="A101" s="101"/>
      <c r="B101" s="102">
        <v>95</v>
      </c>
      <c r="C101" s="109">
        <f>26000*E2</f>
        <v>26000</v>
      </c>
      <c r="D101" s="101"/>
      <c r="E101" s="101"/>
      <c r="F101" s="101"/>
      <c r="G101" s="101"/>
      <c r="H101" s="101"/>
      <c r="I101" s="101"/>
      <c r="J101" s="101"/>
      <c r="K101" s="101"/>
    </row>
    <row r="102" spans="1:11" ht="12.75">
      <c r="A102" s="101"/>
      <c r="B102" s="102">
        <v>96</v>
      </c>
      <c r="C102" s="107">
        <f>26200*E2</f>
        <v>26200</v>
      </c>
      <c r="D102" s="101"/>
      <c r="E102" s="101"/>
      <c r="F102" s="101"/>
      <c r="G102" s="101"/>
      <c r="H102" s="101"/>
      <c r="I102" s="101"/>
      <c r="J102" s="101"/>
      <c r="K102" s="101"/>
    </row>
    <row r="103" spans="1:11" ht="12.75">
      <c r="A103" s="101"/>
      <c r="B103" s="102">
        <v>97</v>
      </c>
      <c r="C103" s="107">
        <f>26400*E2</f>
        <v>26400</v>
      </c>
      <c r="D103" s="101"/>
      <c r="E103" s="101"/>
      <c r="F103" s="101"/>
      <c r="G103" s="101"/>
      <c r="H103" s="101"/>
      <c r="I103" s="101"/>
      <c r="J103" s="101"/>
      <c r="K103" s="101"/>
    </row>
    <row r="104" spans="1:11" ht="12.75">
      <c r="A104" s="101"/>
      <c r="B104" s="102">
        <v>98</v>
      </c>
      <c r="C104" s="107">
        <f>26600*E2</f>
        <v>26600</v>
      </c>
      <c r="D104" s="101"/>
      <c r="E104" s="101"/>
      <c r="F104" s="101"/>
      <c r="G104" s="101"/>
      <c r="H104" s="101"/>
      <c r="I104" s="101"/>
      <c r="J104" s="101"/>
      <c r="K104" s="101"/>
    </row>
    <row r="105" spans="1:11" ht="12.75">
      <c r="A105" s="101"/>
      <c r="B105" s="102">
        <v>99</v>
      </c>
      <c r="C105" s="107">
        <f>26800*E2</f>
        <v>26800</v>
      </c>
      <c r="D105" s="101"/>
      <c r="E105" s="101"/>
      <c r="F105" s="101"/>
      <c r="G105" s="101"/>
      <c r="H105" s="101"/>
      <c r="I105" s="101"/>
      <c r="J105" s="101"/>
      <c r="K105" s="101"/>
    </row>
    <row r="106" spans="1:11" ht="12.75">
      <c r="A106" s="101"/>
      <c r="B106" s="102">
        <v>100</v>
      </c>
      <c r="C106" s="109">
        <f>27000*E2</f>
        <v>27000</v>
      </c>
      <c r="D106" s="101"/>
      <c r="E106" s="101"/>
      <c r="F106" s="101"/>
      <c r="G106" s="101"/>
      <c r="H106" s="101"/>
      <c r="I106" s="101"/>
      <c r="J106" s="101"/>
      <c r="K106" s="101"/>
    </row>
    <row r="107" spans="1:11" ht="12.75">
      <c r="A107" s="101"/>
      <c r="B107" s="102">
        <v>101</v>
      </c>
      <c r="C107" s="107">
        <f>27150*E2</f>
        <v>27150</v>
      </c>
      <c r="D107" s="101"/>
      <c r="E107" s="101"/>
      <c r="F107" s="101"/>
      <c r="G107" s="101"/>
      <c r="H107" s="101"/>
      <c r="I107" s="101"/>
      <c r="J107" s="101"/>
      <c r="K107" s="101"/>
    </row>
    <row r="108" spans="1:11" ht="12.75">
      <c r="A108" s="101"/>
      <c r="B108" s="102">
        <v>102</v>
      </c>
      <c r="C108" s="107">
        <f>27300*E2</f>
        <v>27300</v>
      </c>
      <c r="D108" s="101"/>
      <c r="E108" s="101"/>
      <c r="F108" s="101"/>
      <c r="G108" s="101"/>
      <c r="H108" s="101"/>
      <c r="I108" s="101"/>
      <c r="J108" s="101"/>
      <c r="K108" s="101"/>
    </row>
    <row r="109" spans="1:11" ht="12.75">
      <c r="A109" s="101"/>
      <c r="B109" s="102">
        <v>103</v>
      </c>
      <c r="C109" s="107">
        <f>27450*E2</f>
        <v>27450</v>
      </c>
      <c r="D109" s="101"/>
      <c r="E109" s="101"/>
      <c r="F109" s="101"/>
      <c r="G109" s="101"/>
      <c r="H109" s="101"/>
      <c r="I109" s="101"/>
      <c r="J109" s="101"/>
      <c r="K109" s="101"/>
    </row>
    <row r="110" spans="1:11" ht="12.75">
      <c r="A110" s="101"/>
      <c r="B110" s="102">
        <v>104</v>
      </c>
      <c r="C110" s="107">
        <f>27600*E2</f>
        <v>27600</v>
      </c>
      <c r="D110" s="101"/>
      <c r="E110" s="101"/>
      <c r="F110" s="101"/>
      <c r="G110" s="101"/>
      <c r="H110" s="101"/>
      <c r="I110" s="101"/>
      <c r="J110" s="101"/>
      <c r="K110" s="101"/>
    </row>
    <row r="111" spans="1:11" ht="12.75">
      <c r="A111" s="101"/>
      <c r="B111" s="102">
        <v>105</v>
      </c>
      <c r="C111" s="109">
        <f>27750*E2</f>
        <v>27750</v>
      </c>
      <c r="D111" s="101"/>
      <c r="E111" s="101"/>
      <c r="F111" s="101"/>
      <c r="G111" s="101"/>
      <c r="H111" s="101"/>
      <c r="I111" s="101"/>
      <c r="J111" s="101"/>
      <c r="K111" s="101"/>
    </row>
    <row r="112" spans="1:11" ht="12.75">
      <c r="A112" s="101"/>
      <c r="B112" s="102">
        <v>106</v>
      </c>
      <c r="C112" s="107">
        <f>27900*E2</f>
        <v>27900</v>
      </c>
      <c r="D112" s="101"/>
      <c r="E112" s="101"/>
      <c r="F112" s="101"/>
      <c r="G112" s="101"/>
      <c r="H112" s="101"/>
      <c r="I112" s="101"/>
      <c r="J112" s="101"/>
      <c r="K112" s="101"/>
    </row>
    <row r="113" spans="1:11" ht="12.75">
      <c r="A113" s="101"/>
      <c r="B113" s="102">
        <v>107</v>
      </c>
      <c r="C113" s="107">
        <f>28050*E2</f>
        <v>28050</v>
      </c>
      <c r="D113" s="101"/>
      <c r="E113" s="101"/>
      <c r="F113" s="101"/>
      <c r="G113" s="101"/>
      <c r="H113" s="101"/>
      <c r="I113" s="101"/>
      <c r="J113" s="101"/>
      <c r="K113" s="101"/>
    </row>
    <row r="114" spans="1:11" ht="12.75">
      <c r="A114" s="101"/>
      <c r="B114" s="102">
        <v>108</v>
      </c>
      <c r="C114" s="107">
        <f>28200*E2</f>
        <v>28200</v>
      </c>
      <c r="D114" s="101"/>
      <c r="E114" s="101"/>
      <c r="F114" s="101"/>
      <c r="G114" s="101"/>
      <c r="H114" s="101"/>
      <c r="I114" s="101"/>
      <c r="J114" s="101"/>
      <c r="K114" s="101"/>
    </row>
    <row r="115" spans="1:11" ht="12.75">
      <c r="A115" s="101"/>
      <c r="B115" s="102">
        <v>109</v>
      </c>
      <c r="C115" s="107">
        <f>28350*E2</f>
        <v>28350</v>
      </c>
      <c r="D115" s="101"/>
      <c r="E115" s="101"/>
      <c r="F115" s="101"/>
      <c r="G115" s="101"/>
      <c r="H115" s="101"/>
      <c r="I115" s="101"/>
      <c r="J115" s="101"/>
      <c r="K115" s="101"/>
    </row>
    <row r="116" spans="1:11" ht="12.75">
      <c r="A116" s="101"/>
      <c r="B116" s="102">
        <v>110</v>
      </c>
      <c r="C116" s="109">
        <f>28500*E2</f>
        <v>28500</v>
      </c>
      <c r="D116" s="101"/>
      <c r="E116" s="101"/>
      <c r="F116" s="101"/>
      <c r="G116" s="101"/>
      <c r="H116" s="101"/>
      <c r="I116" s="101"/>
      <c r="J116" s="101"/>
      <c r="K116" s="101"/>
    </row>
    <row r="117" spans="1:11" ht="12.75">
      <c r="A117" s="101"/>
      <c r="B117" s="102">
        <v>111</v>
      </c>
      <c r="C117" s="107">
        <f>28650*E2</f>
        <v>28650</v>
      </c>
      <c r="D117" s="101"/>
      <c r="E117" s="101"/>
      <c r="F117" s="101"/>
      <c r="G117" s="101"/>
      <c r="H117" s="101"/>
      <c r="I117" s="101"/>
      <c r="J117" s="101"/>
      <c r="K117" s="101"/>
    </row>
    <row r="118" spans="1:11" ht="12.75">
      <c r="A118" s="101"/>
      <c r="B118" s="102">
        <v>112</v>
      </c>
      <c r="C118" s="107">
        <f>28800*E2</f>
        <v>28800</v>
      </c>
      <c r="D118" s="101"/>
      <c r="E118" s="101"/>
      <c r="F118" s="101"/>
      <c r="G118" s="101"/>
      <c r="H118" s="101"/>
      <c r="I118" s="101"/>
      <c r="J118" s="101"/>
      <c r="K118" s="101"/>
    </row>
    <row r="119" spans="1:11" ht="12.75">
      <c r="A119" s="101"/>
      <c r="B119" s="102">
        <v>113</v>
      </c>
      <c r="C119" s="107">
        <f>28950*E2</f>
        <v>28950</v>
      </c>
      <c r="D119" s="101"/>
      <c r="E119" s="101"/>
      <c r="F119" s="101"/>
      <c r="G119" s="101"/>
      <c r="H119" s="101"/>
      <c r="I119" s="101"/>
      <c r="J119" s="101"/>
      <c r="K119" s="101"/>
    </row>
    <row r="120" spans="1:11" ht="12.75">
      <c r="A120" s="101"/>
      <c r="B120" s="102">
        <v>114</v>
      </c>
      <c r="C120" s="107">
        <f>29100*E2</f>
        <v>29100</v>
      </c>
      <c r="D120" s="101"/>
      <c r="E120" s="101"/>
      <c r="F120" s="101"/>
      <c r="G120" s="101"/>
      <c r="H120" s="101"/>
      <c r="I120" s="101"/>
      <c r="J120" s="101"/>
      <c r="K120" s="101"/>
    </row>
    <row r="121" spans="1:11" ht="12.75">
      <c r="A121" s="101"/>
      <c r="B121" s="102">
        <v>115</v>
      </c>
      <c r="C121" s="109">
        <f>29250*E2</f>
        <v>29250</v>
      </c>
      <c r="D121" s="101"/>
      <c r="E121" s="101"/>
      <c r="F121" s="101"/>
      <c r="G121" s="101"/>
      <c r="H121" s="101"/>
      <c r="I121" s="101"/>
      <c r="J121" s="101"/>
      <c r="K121" s="101"/>
    </row>
    <row r="122" spans="1:11" ht="12.75">
      <c r="A122" s="101"/>
      <c r="B122" s="102">
        <v>116</v>
      </c>
      <c r="C122" s="107">
        <f>29400*E2</f>
        <v>29400</v>
      </c>
      <c r="D122" s="101"/>
      <c r="E122" s="101"/>
      <c r="F122" s="101"/>
      <c r="G122" s="101"/>
      <c r="H122" s="101"/>
      <c r="I122" s="101"/>
      <c r="J122" s="101"/>
      <c r="K122" s="101"/>
    </row>
    <row r="123" spans="1:11" ht="12.75">
      <c r="A123" s="101"/>
      <c r="B123" s="102">
        <v>117</v>
      </c>
      <c r="C123" s="107">
        <f>29550*E2</f>
        <v>29550</v>
      </c>
      <c r="D123" s="101"/>
      <c r="E123" s="101"/>
      <c r="F123" s="101"/>
      <c r="G123" s="101"/>
      <c r="H123" s="101"/>
      <c r="I123" s="101"/>
      <c r="J123" s="101"/>
      <c r="K123" s="101"/>
    </row>
    <row r="124" spans="1:11" ht="12.75">
      <c r="A124" s="101"/>
      <c r="B124" s="102">
        <v>118</v>
      </c>
      <c r="C124" s="107">
        <f>29700*E2</f>
        <v>29700</v>
      </c>
      <c r="D124" s="101"/>
      <c r="E124" s="101"/>
      <c r="F124" s="101"/>
      <c r="G124" s="101"/>
      <c r="H124" s="101"/>
      <c r="I124" s="101"/>
      <c r="J124" s="101"/>
      <c r="K124" s="101"/>
    </row>
    <row r="125" spans="1:11" ht="12.75">
      <c r="A125" s="101"/>
      <c r="B125" s="102">
        <v>119</v>
      </c>
      <c r="C125" s="107">
        <f>29850*E2</f>
        <v>29850</v>
      </c>
      <c r="D125" s="101"/>
      <c r="E125" s="101"/>
      <c r="F125" s="101"/>
      <c r="G125" s="101"/>
      <c r="H125" s="101"/>
      <c r="I125" s="101"/>
      <c r="J125" s="101"/>
      <c r="K125" s="101"/>
    </row>
    <row r="126" spans="1:11" ht="12.75">
      <c r="A126" s="101"/>
      <c r="B126" s="102">
        <v>120</v>
      </c>
      <c r="C126" s="109">
        <f>30000*E2</f>
        <v>30000</v>
      </c>
      <c r="D126" s="101"/>
      <c r="E126" s="101"/>
      <c r="F126" s="101"/>
      <c r="G126" s="101"/>
      <c r="H126" s="101"/>
      <c r="I126" s="101"/>
      <c r="J126" s="101"/>
      <c r="K126" s="101"/>
    </row>
    <row r="127" spans="1:11" ht="12.75">
      <c r="A127" s="101"/>
      <c r="B127" s="102">
        <v>121</v>
      </c>
      <c r="C127" s="107">
        <f>30150*E2</f>
        <v>30150</v>
      </c>
      <c r="D127" s="101"/>
      <c r="E127" s="101"/>
      <c r="F127" s="101"/>
      <c r="G127" s="101"/>
      <c r="H127" s="101"/>
      <c r="I127" s="101"/>
      <c r="J127" s="101"/>
      <c r="K127" s="101"/>
    </row>
    <row r="128" spans="1:11" ht="12.75">
      <c r="A128" s="101"/>
      <c r="B128" s="102">
        <v>122</v>
      </c>
      <c r="C128" s="107">
        <f>30300*E2</f>
        <v>30300</v>
      </c>
      <c r="D128" s="101"/>
      <c r="E128" s="101"/>
      <c r="F128" s="101"/>
      <c r="G128" s="101"/>
      <c r="H128" s="101"/>
      <c r="I128" s="101"/>
      <c r="J128" s="101"/>
      <c r="K128" s="101"/>
    </row>
    <row r="129" spans="1:11" ht="12.75">
      <c r="A129" s="101"/>
      <c r="B129" s="102">
        <v>123</v>
      </c>
      <c r="C129" s="107">
        <f>30450*E2</f>
        <v>30450</v>
      </c>
      <c r="D129" s="101"/>
      <c r="E129" s="101"/>
      <c r="F129" s="101"/>
      <c r="G129" s="101"/>
      <c r="H129" s="101"/>
      <c r="I129" s="101"/>
      <c r="J129" s="101"/>
      <c r="K129" s="101"/>
    </row>
    <row r="130" spans="1:11" ht="12.75">
      <c r="A130" s="101"/>
      <c r="B130" s="102">
        <v>124</v>
      </c>
      <c r="C130" s="107">
        <f>30600*E2</f>
        <v>30600</v>
      </c>
      <c r="D130" s="101"/>
      <c r="E130" s="101"/>
      <c r="F130" s="101"/>
      <c r="G130" s="101"/>
      <c r="H130" s="101"/>
      <c r="I130" s="101"/>
      <c r="J130" s="101"/>
      <c r="K130" s="101"/>
    </row>
    <row r="131" spans="1:11" ht="12.75">
      <c r="A131" s="101"/>
      <c r="B131" s="102">
        <v>125</v>
      </c>
      <c r="C131" s="109">
        <f>30750*E2</f>
        <v>30750</v>
      </c>
      <c r="D131" s="101"/>
      <c r="E131" s="101"/>
      <c r="F131" s="101"/>
      <c r="G131" s="101"/>
      <c r="H131" s="101"/>
      <c r="I131" s="101"/>
      <c r="J131" s="101"/>
      <c r="K131" s="101"/>
    </row>
    <row r="132" spans="1:11" ht="12.75">
      <c r="A132" s="101"/>
      <c r="B132" s="102">
        <v>126</v>
      </c>
      <c r="C132" s="107">
        <f>30900*E2</f>
        <v>30900</v>
      </c>
      <c r="D132" s="101"/>
      <c r="E132" s="101"/>
      <c r="F132" s="101"/>
      <c r="G132" s="101"/>
      <c r="H132" s="101"/>
      <c r="I132" s="101"/>
      <c r="J132" s="101"/>
      <c r="K132" s="101"/>
    </row>
    <row r="133" spans="1:11" ht="12.75">
      <c r="A133" s="101"/>
      <c r="B133" s="102">
        <v>127</v>
      </c>
      <c r="C133" s="107">
        <f>31050*E2</f>
        <v>31050</v>
      </c>
      <c r="D133" s="101"/>
      <c r="E133" s="101"/>
      <c r="F133" s="101"/>
      <c r="G133" s="101"/>
      <c r="H133" s="101"/>
      <c r="I133" s="101"/>
      <c r="J133" s="101"/>
      <c r="K133" s="101"/>
    </row>
    <row r="134" spans="1:11" ht="12.75">
      <c r="A134" s="101"/>
      <c r="B134" s="102">
        <v>128</v>
      </c>
      <c r="C134" s="107">
        <f>31200*E2</f>
        <v>31200</v>
      </c>
      <c r="D134" s="101"/>
      <c r="E134" s="101"/>
      <c r="F134" s="101"/>
      <c r="G134" s="101"/>
      <c r="H134" s="101"/>
      <c r="I134" s="101"/>
      <c r="J134" s="101"/>
      <c r="K134" s="101"/>
    </row>
    <row r="135" spans="1:11" ht="12.75">
      <c r="A135" s="101"/>
      <c r="B135" s="102">
        <v>129</v>
      </c>
      <c r="C135" s="107">
        <f>31350*E2</f>
        <v>31350</v>
      </c>
      <c r="D135" s="101"/>
      <c r="E135" s="101"/>
      <c r="F135" s="101"/>
      <c r="G135" s="101"/>
      <c r="H135" s="101"/>
      <c r="I135" s="101"/>
      <c r="J135" s="101"/>
      <c r="K135" s="101"/>
    </row>
    <row r="136" spans="1:11" ht="12.75">
      <c r="A136" s="101"/>
      <c r="B136" s="102">
        <v>130</v>
      </c>
      <c r="C136" s="109">
        <f>31500*E2</f>
        <v>31500</v>
      </c>
      <c r="D136" s="101"/>
      <c r="E136" s="101"/>
      <c r="F136" s="101"/>
      <c r="G136" s="101"/>
      <c r="H136" s="101"/>
      <c r="I136" s="101"/>
      <c r="J136" s="101"/>
      <c r="K136" s="101"/>
    </row>
    <row r="137" spans="1:11" ht="12.75">
      <c r="A137" s="101"/>
      <c r="B137" s="102">
        <v>131</v>
      </c>
      <c r="C137" s="107">
        <f>31650*E2</f>
        <v>31650</v>
      </c>
      <c r="D137" s="101"/>
      <c r="E137" s="101"/>
      <c r="F137" s="101"/>
      <c r="G137" s="101"/>
      <c r="H137" s="101"/>
      <c r="I137" s="101"/>
      <c r="J137" s="101"/>
      <c r="K137" s="101"/>
    </row>
    <row r="138" spans="1:11" ht="12.75">
      <c r="A138" s="101"/>
      <c r="B138" s="102">
        <v>132</v>
      </c>
      <c r="C138" s="107">
        <f>31800*E2</f>
        <v>31800</v>
      </c>
      <c r="D138" s="101"/>
      <c r="E138" s="101"/>
      <c r="F138" s="101"/>
      <c r="G138" s="101"/>
      <c r="H138" s="101"/>
      <c r="I138" s="101"/>
      <c r="J138" s="101"/>
      <c r="K138" s="101"/>
    </row>
    <row r="139" spans="1:11" ht="12.75">
      <c r="A139" s="101"/>
      <c r="B139" s="102">
        <v>133</v>
      </c>
      <c r="C139" s="107">
        <f>31950*E2</f>
        <v>31950</v>
      </c>
      <c r="D139" s="101"/>
      <c r="E139" s="101"/>
      <c r="F139" s="101"/>
      <c r="G139" s="101"/>
      <c r="H139" s="101"/>
      <c r="I139" s="101"/>
      <c r="J139" s="101"/>
      <c r="K139" s="101"/>
    </row>
    <row r="140" spans="1:11" ht="12.75">
      <c r="A140" s="101"/>
      <c r="B140" s="102">
        <v>134</v>
      </c>
      <c r="C140" s="107">
        <f>32100*E2</f>
        <v>32100</v>
      </c>
      <c r="D140" s="101"/>
      <c r="E140" s="101"/>
      <c r="F140" s="101"/>
      <c r="G140" s="101"/>
      <c r="H140" s="101"/>
      <c r="I140" s="101"/>
      <c r="J140" s="101"/>
      <c r="K140" s="101"/>
    </row>
    <row r="141" spans="1:11" ht="12.75">
      <c r="A141" s="101"/>
      <c r="B141" s="102">
        <v>135</v>
      </c>
      <c r="C141" s="109">
        <f>32250*E2</f>
        <v>32250</v>
      </c>
      <c r="D141" s="101"/>
      <c r="E141" s="101"/>
      <c r="F141" s="101"/>
      <c r="G141" s="101"/>
      <c r="H141" s="101"/>
      <c r="I141" s="101"/>
      <c r="J141" s="101"/>
      <c r="K141" s="101"/>
    </row>
    <row r="142" spans="1:11" ht="12.75">
      <c r="A142" s="101"/>
      <c r="B142" s="102">
        <v>136</v>
      </c>
      <c r="C142" s="107">
        <f>32400*E2</f>
        <v>32400</v>
      </c>
      <c r="D142" s="101"/>
      <c r="E142" s="101"/>
      <c r="F142" s="101"/>
      <c r="G142" s="101"/>
      <c r="H142" s="101"/>
      <c r="I142" s="101"/>
      <c r="J142" s="101"/>
      <c r="K142" s="101"/>
    </row>
    <row r="143" spans="1:11" ht="12.75">
      <c r="A143" s="101"/>
      <c r="B143" s="102">
        <v>137</v>
      </c>
      <c r="C143" s="107">
        <f>32550*E2</f>
        <v>32550</v>
      </c>
      <c r="D143" s="101"/>
      <c r="E143" s="101"/>
      <c r="F143" s="101"/>
      <c r="G143" s="101"/>
      <c r="H143" s="101"/>
      <c r="I143" s="101"/>
      <c r="J143" s="101"/>
      <c r="K143" s="101"/>
    </row>
    <row r="144" spans="1:11" ht="12.75">
      <c r="A144" s="101"/>
      <c r="B144" s="102">
        <v>138</v>
      </c>
      <c r="C144" s="107">
        <f>32700*E2</f>
        <v>32700</v>
      </c>
      <c r="D144" s="101"/>
      <c r="E144" s="101"/>
      <c r="F144" s="101"/>
      <c r="G144" s="101"/>
      <c r="H144" s="101"/>
      <c r="I144" s="101"/>
      <c r="J144" s="101"/>
      <c r="K144" s="101"/>
    </row>
    <row r="145" spans="1:11" ht="12.75">
      <c r="A145" s="101"/>
      <c r="B145" s="102">
        <v>139</v>
      </c>
      <c r="C145" s="107">
        <f>32850*E2</f>
        <v>32850</v>
      </c>
      <c r="D145" s="101"/>
      <c r="E145" s="101"/>
      <c r="F145" s="101"/>
      <c r="G145" s="101"/>
      <c r="H145" s="101"/>
      <c r="I145" s="101"/>
      <c r="J145" s="101"/>
      <c r="K145" s="101"/>
    </row>
    <row r="146" spans="1:11" ht="12.75">
      <c r="A146" s="101"/>
      <c r="B146" s="102">
        <v>140</v>
      </c>
      <c r="C146" s="109">
        <f>33000*E2</f>
        <v>33000</v>
      </c>
      <c r="D146" s="101"/>
      <c r="E146" s="101"/>
      <c r="F146" s="101"/>
      <c r="G146" s="101"/>
      <c r="H146" s="101"/>
      <c r="I146" s="101"/>
      <c r="J146" s="101"/>
      <c r="K146" s="101"/>
    </row>
    <row r="147" spans="1:11" ht="12.75">
      <c r="A147" s="101"/>
      <c r="B147" s="102">
        <v>141</v>
      </c>
      <c r="C147" s="107">
        <f>33150*E2</f>
        <v>33150</v>
      </c>
      <c r="D147" s="101"/>
      <c r="E147" s="101"/>
      <c r="F147" s="101"/>
      <c r="G147" s="101"/>
      <c r="H147" s="101"/>
      <c r="I147" s="101"/>
      <c r="J147" s="101"/>
      <c r="K147" s="101"/>
    </row>
    <row r="148" spans="1:11" ht="12.75">
      <c r="A148" s="101"/>
      <c r="B148" s="102">
        <v>142</v>
      </c>
      <c r="C148" s="107">
        <f>33300*E2</f>
        <v>33300</v>
      </c>
      <c r="D148" s="101"/>
      <c r="E148" s="101"/>
      <c r="F148" s="101"/>
      <c r="G148" s="101"/>
      <c r="H148" s="101"/>
      <c r="I148" s="101"/>
      <c r="J148" s="101"/>
      <c r="K148" s="101"/>
    </row>
    <row r="149" spans="1:11" ht="12.75">
      <c r="A149" s="101"/>
      <c r="B149" s="102">
        <v>143</v>
      </c>
      <c r="C149" s="107">
        <f>33450*E2</f>
        <v>33450</v>
      </c>
      <c r="D149" s="101"/>
      <c r="E149" s="101"/>
      <c r="F149" s="101"/>
      <c r="G149" s="101"/>
      <c r="H149" s="101"/>
      <c r="I149" s="101"/>
      <c r="J149" s="101"/>
      <c r="K149" s="101"/>
    </row>
    <row r="150" spans="1:11" ht="12.75">
      <c r="A150" s="101"/>
      <c r="B150" s="102">
        <v>144</v>
      </c>
      <c r="C150" s="107">
        <f>33600*E2</f>
        <v>33600</v>
      </c>
      <c r="D150" s="101"/>
      <c r="E150" s="101"/>
      <c r="F150" s="101"/>
      <c r="G150" s="101"/>
      <c r="H150" s="101"/>
      <c r="I150" s="101"/>
      <c r="J150" s="101"/>
      <c r="K150" s="101"/>
    </row>
    <row r="151" spans="1:11" ht="12.75">
      <c r="A151" s="101"/>
      <c r="B151" s="102">
        <v>145</v>
      </c>
      <c r="C151" s="109">
        <f>33750*E2</f>
        <v>33750</v>
      </c>
      <c r="D151" s="101"/>
      <c r="E151" s="101"/>
      <c r="F151" s="101"/>
      <c r="G151" s="101"/>
      <c r="H151" s="101"/>
      <c r="I151" s="101"/>
      <c r="J151" s="101"/>
      <c r="K151" s="101"/>
    </row>
    <row r="152" spans="1:11" ht="12.75">
      <c r="A152" s="101"/>
      <c r="B152" s="102">
        <v>146</v>
      </c>
      <c r="C152" s="107">
        <f>33900*E2</f>
        <v>33900</v>
      </c>
      <c r="D152" s="101"/>
      <c r="E152" s="101"/>
      <c r="F152" s="101"/>
      <c r="G152" s="101"/>
      <c r="H152" s="101"/>
      <c r="I152" s="101"/>
      <c r="J152" s="101"/>
      <c r="K152" s="101"/>
    </row>
    <row r="153" spans="1:11" ht="12.75">
      <c r="A153" s="101"/>
      <c r="B153" s="102">
        <v>147</v>
      </c>
      <c r="C153" s="107">
        <f>34050*E2</f>
        <v>34050</v>
      </c>
      <c r="D153" s="101"/>
      <c r="E153" s="101"/>
      <c r="F153" s="101"/>
      <c r="G153" s="101"/>
      <c r="H153" s="101"/>
      <c r="I153" s="101"/>
      <c r="J153" s="101"/>
      <c r="K153" s="101"/>
    </row>
    <row r="154" spans="1:11" ht="12.75">
      <c r="A154" s="101"/>
      <c r="B154" s="102">
        <v>148</v>
      </c>
      <c r="C154" s="107">
        <f>34200*E2</f>
        <v>34200</v>
      </c>
      <c r="D154" s="101"/>
      <c r="E154" s="101"/>
      <c r="F154" s="101"/>
      <c r="G154" s="101"/>
      <c r="H154" s="101"/>
      <c r="I154" s="101"/>
      <c r="J154" s="101"/>
      <c r="K154" s="101"/>
    </row>
    <row r="155" spans="1:11" ht="12.75">
      <c r="A155" s="101"/>
      <c r="B155" s="102">
        <v>149</v>
      </c>
      <c r="C155" s="107">
        <f>34350*E2</f>
        <v>34350</v>
      </c>
      <c r="D155" s="101"/>
      <c r="E155" s="101"/>
      <c r="F155" s="101"/>
      <c r="G155" s="101"/>
      <c r="H155" s="101"/>
      <c r="I155" s="101"/>
      <c r="J155" s="101"/>
      <c r="K155" s="101"/>
    </row>
    <row r="156" spans="1:11" ht="12.75">
      <c r="A156" s="101"/>
      <c r="B156" s="102">
        <v>150</v>
      </c>
      <c r="C156" s="109">
        <f>34500*E2</f>
        <v>34500</v>
      </c>
      <c r="D156" s="101"/>
      <c r="E156" s="101"/>
      <c r="F156" s="101"/>
      <c r="G156" s="101"/>
      <c r="H156" s="101"/>
      <c r="I156" s="101"/>
      <c r="J156" s="101"/>
      <c r="K156" s="101"/>
    </row>
    <row r="157" spans="1:11" ht="12.75">
      <c r="A157" s="101"/>
      <c r="B157" s="102">
        <v>151</v>
      </c>
      <c r="C157" s="107">
        <f>34650*E2</f>
        <v>34650</v>
      </c>
      <c r="D157" s="101"/>
      <c r="E157" s="101"/>
      <c r="F157" s="101"/>
      <c r="G157" s="101"/>
      <c r="H157" s="101"/>
      <c r="I157" s="101"/>
      <c r="J157" s="101"/>
      <c r="K157" s="101"/>
    </row>
    <row r="158" spans="1:11" ht="12.75">
      <c r="A158" s="101"/>
      <c r="B158" s="102">
        <v>152</v>
      </c>
      <c r="C158" s="107">
        <f>34800*E2</f>
        <v>34800</v>
      </c>
      <c r="D158" s="101"/>
      <c r="E158" s="101"/>
      <c r="F158" s="101"/>
      <c r="G158" s="101"/>
      <c r="H158" s="101"/>
      <c r="I158" s="101"/>
      <c r="J158" s="101"/>
      <c r="K158" s="101"/>
    </row>
    <row r="159" spans="1:11" ht="12.75">
      <c r="A159" s="101"/>
      <c r="B159" s="102">
        <v>153</v>
      </c>
      <c r="C159" s="107">
        <f>34950*E2</f>
        <v>34950</v>
      </c>
      <c r="D159" s="101"/>
      <c r="E159" s="101"/>
      <c r="F159" s="101"/>
      <c r="G159" s="101"/>
      <c r="H159" s="101"/>
      <c r="I159" s="101"/>
      <c r="J159" s="101"/>
      <c r="K159" s="101"/>
    </row>
    <row r="160" spans="1:11" ht="12.75">
      <c r="A160" s="101"/>
      <c r="B160" s="102">
        <v>154</v>
      </c>
      <c r="C160" s="107">
        <f>35100*E2</f>
        <v>35100</v>
      </c>
      <c r="D160" s="101"/>
      <c r="E160" s="101"/>
      <c r="F160" s="101"/>
      <c r="G160" s="101"/>
      <c r="H160" s="101"/>
      <c r="I160" s="101"/>
      <c r="J160" s="101"/>
      <c r="K160" s="101"/>
    </row>
    <row r="161" spans="1:11" ht="12.75">
      <c r="A161" s="101"/>
      <c r="B161" s="102">
        <v>155</v>
      </c>
      <c r="C161" s="109">
        <f>35250*E2</f>
        <v>35250</v>
      </c>
      <c r="D161" s="101"/>
      <c r="E161" s="101"/>
      <c r="F161" s="101"/>
      <c r="G161" s="101"/>
      <c r="H161" s="101"/>
      <c r="I161" s="101"/>
      <c r="J161" s="101"/>
      <c r="K161" s="101"/>
    </row>
    <row r="162" spans="1:11" ht="12.75">
      <c r="A162" s="101"/>
      <c r="B162" s="102">
        <v>156</v>
      </c>
      <c r="C162" s="107">
        <f>35400*E2</f>
        <v>35400</v>
      </c>
      <c r="D162" s="101"/>
      <c r="E162" s="101"/>
      <c r="F162" s="101"/>
      <c r="G162" s="101"/>
      <c r="H162" s="101"/>
      <c r="I162" s="101"/>
      <c r="J162" s="101"/>
      <c r="K162" s="101"/>
    </row>
    <row r="163" spans="1:11" ht="12.75">
      <c r="A163" s="101"/>
      <c r="B163" s="102">
        <v>157</v>
      </c>
      <c r="C163" s="107">
        <f>35550*E2</f>
        <v>35550</v>
      </c>
      <c r="D163" s="101"/>
      <c r="E163" s="101"/>
      <c r="F163" s="101"/>
      <c r="G163" s="101"/>
      <c r="H163" s="101"/>
      <c r="I163" s="101"/>
      <c r="J163" s="101"/>
      <c r="K163" s="101"/>
    </row>
    <row r="164" spans="1:11" ht="12.75">
      <c r="A164" s="101"/>
      <c r="B164" s="102">
        <v>158</v>
      </c>
      <c r="C164" s="107">
        <f>35700*E2</f>
        <v>35700</v>
      </c>
      <c r="D164" s="101"/>
      <c r="E164" s="101"/>
      <c r="F164" s="101"/>
      <c r="G164" s="101"/>
      <c r="H164" s="101"/>
      <c r="I164" s="101"/>
      <c r="J164" s="101"/>
      <c r="K164" s="101"/>
    </row>
    <row r="165" spans="1:11" ht="12.75">
      <c r="A165" s="101"/>
      <c r="B165" s="102">
        <v>159</v>
      </c>
      <c r="C165" s="107">
        <f>35850*E2</f>
        <v>35850</v>
      </c>
      <c r="D165" s="101"/>
      <c r="E165" s="101"/>
      <c r="F165" s="101"/>
      <c r="G165" s="101"/>
      <c r="H165" s="101"/>
      <c r="I165" s="101"/>
      <c r="J165" s="101"/>
      <c r="K165" s="101"/>
    </row>
    <row r="166" spans="1:11" ht="12.75">
      <c r="A166" s="101"/>
      <c r="B166" s="102">
        <v>160</v>
      </c>
      <c r="C166" s="109">
        <f>36000*E2</f>
        <v>36000</v>
      </c>
      <c r="D166" s="101"/>
      <c r="E166" s="101"/>
      <c r="F166" s="101"/>
      <c r="G166" s="101"/>
      <c r="H166" s="101"/>
      <c r="I166" s="101"/>
      <c r="J166" s="101"/>
      <c r="K166" s="101"/>
    </row>
    <row r="167" spans="1:11" ht="12.75">
      <c r="A167" s="101"/>
      <c r="B167" s="102">
        <v>161</v>
      </c>
      <c r="C167" s="117">
        <f>36150*E2</f>
        <v>36150</v>
      </c>
      <c r="D167" s="101"/>
      <c r="E167" s="101"/>
      <c r="F167" s="101"/>
      <c r="G167" s="101"/>
      <c r="H167" s="101"/>
      <c r="I167" s="101"/>
      <c r="J167" s="101"/>
      <c r="K167" s="101"/>
    </row>
    <row r="168" spans="1:11" ht="12.75">
      <c r="A168" s="101"/>
      <c r="B168" s="102">
        <v>162</v>
      </c>
      <c r="C168" s="117">
        <f>36300*E2</f>
        <v>36300</v>
      </c>
      <c r="D168" s="101"/>
      <c r="E168" s="101"/>
      <c r="F168" s="101"/>
      <c r="G168" s="101"/>
      <c r="H168" s="101"/>
      <c r="I168" s="101"/>
      <c r="J168" s="101"/>
      <c r="K168" s="101"/>
    </row>
    <row r="169" spans="1:11" ht="12.75">
      <c r="A169" s="101"/>
      <c r="B169" s="102">
        <v>163</v>
      </c>
      <c r="C169" s="107">
        <f>36450*E2</f>
        <v>36450</v>
      </c>
      <c r="D169" s="101"/>
      <c r="E169" s="101"/>
      <c r="F169" s="101"/>
      <c r="G169" s="101"/>
      <c r="H169" s="101"/>
      <c r="I169" s="101"/>
      <c r="J169" s="101"/>
      <c r="K169" s="101"/>
    </row>
    <row r="170" spans="1:11" ht="12.75">
      <c r="A170" s="101"/>
      <c r="B170" s="102">
        <v>164</v>
      </c>
      <c r="C170" s="107">
        <f>36600*E2</f>
        <v>36600</v>
      </c>
      <c r="D170" s="101"/>
      <c r="E170" s="101"/>
      <c r="F170" s="101"/>
      <c r="G170" s="101"/>
      <c r="H170" s="101"/>
      <c r="I170" s="101"/>
      <c r="J170" s="101"/>
      <c r="K170" s="101"/>
    </row>
    <row r="171" spans="1:11" ht="12.75">
      <c r="A171" s="101"/>
      <c r="B171" s="102">
        <v>165</v>
      </c>
      <c r="C171" s="109">
        <f>36750*E2</f>
        <v>36750</v>
      </c>
      <c r="D171" s="101"/>
      <c r="E171" s="101"/>
      <c r="F171" s="101"/>
      <c r="G171" s="101"/>
      <c r="H171" s="101"/>
      <c r="I171" s="101"/>
      <c r="J171" s="101"/>
      <c r="K171" s="101"/>
    </row>
    <row r="172" spans="1:11" ht="12.75">
      <c r="A172" s="101"/>
      <c r="B172" s="102">
        <v>166</v>
      </c>
      <c r="C172" s="107">
        <f>36900*E2</f>
        <v>36900</v>
      </c>
      <c r="D172" s="101"/>
      <c r="E172" s="101"/>
      <c r="F172" s="101"/>
      <c r="G172" s="101"/>
      <c r="H172" s="101"/>
      <c r="I172" s="101"/>
      <c r="J172" s="101"/>
      <c r="K172" s="101"/>
    </row>
    <row r="173" spans="1:11" ht="12.75">
      <c r="A173" s="101"/>
      <c r="B173" s="102">
        <v>167</v>
      </c>
      <c r="C173" s="107">
        <f>37050*E2</f>
        <v>37050</v>
      </c>
      <c r="D173" s="101"/>
      <c r="E173" s="101"/>
      <c r="F173" s="101"/>
      <c r="G173" s="101"/>
      <c r="H173" s="101"/>
      <c r="I173" s="101"/>
      <c r="J173" s="101"/>
      <c r="K173" s="101"/>
    </row>
    <row r="174" spans="1:11" ht="12.75">
      <c r="A174" s="101"/>
      <c r="B174" s="102">
        <v>168</v>
      </c>
      <c r="C174" s="107">
        <f>37200*E2</f>
        <v>37200</v>
      </c>
      <c r="D174" s="101"/>
      <c r="E174" s="101"/>
      <c r="F174" s="101"/>
      <c r="G174" s="101"/>
      <c r="H174" s="101"/>
      <c r="I174" s="101"/>
      <c r="J174" s="101"/>
      <c r="K174" s="101"/>
    </row>
    <row r="175" spans="1:11" ht="12.75">
      <c r="A175" s="101"/>
      <c r="B175" s="102">
        <v>169</v>
      </c>
      <c r="C175" s="107">
        <f>37350*E2</f>
        <v>37350</v>
      </c>
      <c r="D175" s="101"/>
      <c r="E175" s="101"/>
      <c r="F175" s="101"/>
      <c r="G175" s="101"/>
      <c r="H175" s="101"/>
      <c r="I175" s="101"/>
      <c r="J175" s="101"/>
      <c r="K175" s="101"/>
    </row>
    <row r="176" spans="1:11" ht="12.75">
      <c r="A176" s="101"/>
      <c r="B176" s="102">
        <v>170</v>
      </c>
      <c r="C176" s="109">
        <f>37500*E2</f>
        <v>37500</v>
      </c>
      <c r="D176" s="101"/>
      <c r="E176" s="101"/>
      <c r="F176" s="101"/>
      <c r="G176" s="101"/>
      <c r="H176" s="101"/>
      <c r="I176" s="101"/>
      <c r="J176" s="101"/>
      <c r="K176" s="101"/>
    </row>
    <row r="177" spans="1:11" ht="12.75">
      <c r="A177" s="101"/>
      <c r="B177" s="102">
        <v>171</v>
      </c>
      <c r="C177" s="107">
        <f>37650*E2</f>
        <v>37650</v>
      </c>
      <c r="D177" s="101"/>
      <c r="E177" s="101"/>
      <c r="F177" s="101"/>
      <c r="G177" s="101"/>
      <c r="H177" s="101"/>
      <c r="I177" s="101"/>
      <c r="J177" s="101"/>
      <c r="K177" s="101"/>
    </row>
    <row r="178" spans="1:11" ht="12.75">
      <c r="A178" s="101"/>
      <c r="B178" s="102">
        <v>172</v>
      </c>
      <c r="C178" s="107">
        <f>37800*E2</f>
        <v>37800</v>
      </c>
      <c r="D178" s="101"/>
      <c r="E178" s="101"/>
      <c r="F178" s="101"/>
      <c r="G178" s="101"/>
      <c r="H178" s="101"/>
      <c r="I178" s="101"/>
      <c r="J178" s="101"/>
      <c r="K178" s="101"/>
    </row>
    <row r="179" spans="1:11" ht="12.75">
      <c r="A179" s="101"/>
      <c r="B179" s="102">
        <v>173</v>
      </c>
      <c r="C179" s="107">
        <f>37950*E2</f>
        <v>37950</v>
      </c>
      <c r="D179" s="101"/>
      <c r="E179" s="101"/>
      <c r="F179" s="101"/>
      <c r="G179" s="101"/>
      <c r="H179" s="101"/>
      <c r="I179" s="101"/>
      <c r="J179" s="101"/>
      <c r="K179" s="101"/>
    </row>
    <row r="180" spans="1:11" ht="12.75">
      <c r="A180" s="101"/>
      <c r="B180" s="102">
        <v>174</v>
      </c>
      <c r="C180" s="107">
        <f>38100*E2</f>
        <v>38100</v>
      </c>
      <c r="D180" s="101"/>
      <c r="E180" s="101"/>
      <c r="F180" s="101"/>
      <c r="G180" s="101"/>
      <c r="H180" s="101"/>
      <c r="I180" s="101"/>
      <c r="J180" s="101"/>
      <c r="K180" s="101"/>
    </row>
    <row r="181" spans="1:11" ht="12.75">
      <c r="A181" s="101"/>
      <c r="B181" s="102">
        <v>175</v>
      </c>
      <c r="C181" s="109">
        <f>38250*E2</f>
        <v>38250</v>
      </c>
      <c r="D181" s="101"/>
      <c r="E181" s="101"/>
      <c r="F181" s="101"/>
      <c r="G181" s="101"/>
      <c r="H181" s="101"/>
      <c r="I181" s="101"/>
      <c r="J181" s="101"/>
      <c r="K181" s="101"/>
    </row>
    <row r="182" spans="1:11" ht="12.75">
      <c r="A182" s="101"/>
      <c r="B182" s="102">
        <v>176</v>
      </c>
      <c r="C182" s="107">
        <f>38400*E2</f>
        <v>38400</v>
      </c>
      <c r="D182" s="101"/>
      <c r="E182" s="101"/>
      <c r="F182" s="101"/>
      <c r="G182" s="101"/>
      <c r="H182" s="101"/>
      <c r="I182" s="101"/>
      <c r="J182" s="101"/>
      <c r="K182" s="101"/>
    </row>
    <row r="183" spans="1:11" ht="12.75">
      <c r="A183" s="101"/>
      <c r="B183" s="102">
        <v>177</v>
      </c>
      <c r="C183" s="107">
        <f>38550*E2</f>
        <v>38550</v>
      </c>
      <c r="D183" s="101"/>
      <c r="E183" s="101"/>
      <c r="F183" s="101"/>
      <c r="G183" s="101"/>
      <c r="H183" s="101"/>
      <c r="I183" s="101"/>
      <c r="J183" s="101"/>
      <c r="K183" s="101"/>
    </row>
    <row r="184" spans="1:11" ht="12.75">
      <c r="A184" s="101"/>
      <c r="B184" s="102">
        <v>178</v>
      </c>
      <c r="C184" s="107">
        <f>38700*E2</f>
        <v>38700</v>
      </c>
      <c r="D184" s="101"/>
      <c r="E184" s="101"/>
      <c r="F184" s="101"/>
      <c r="G184" s="101"/>
      <c r="H184" s="101"/>
      <c r="I184" s="101"/>
      <c r="J184" s="101"/>
      <c r="K184" s="101"/>
    </row>
    <row r="185" spans="1:11" ht="12.75">
      <c r="A185" s="101"/>
      <c r="B185" s="102">
        <v>179</v>
      </c>
      <c r="C185" s="107">
        <f>38850*E2</f>
        <v>38850</v>
      </c>
      <c r="D185" s="101"/>
      <c r="E185" s="101"/>
      <c r="F185" s="101"/>
      <c r="G185" s="101"/>
      <c r="H185" s="101"/>
      <c r="I185" s="101"/>
      <c r="J185" s="101"/>
      <c r="K185" s="101"/>
    </row>
    <row r="186" spans="1:11" ht="12.75">
      <c r="A186" s="101"/>
      <c r="B186" s="102">
        <v>180</v>
      </c>
      <c r="C186" s="109">
        <f>39000*E2</f>
        <v>39000</v>
      </c>
      <c r="D186" s="101"/>
      <c r="E186" s="101"/>
      <c r="F186" s="101"/>
      <c r="G186" s="101"/>
      <c r="H186" s="101"/>
      <c r="I186" s="101"/>
      <c r="J186" s="101"/>
      <c r="K186" s="101"/>
    </row>
    <row r="187" spans="1:11" ht="12.75">
      <c r="A187" s="101"/>
      <c r="B187" s="102">
        <v>181</v>
      </c>
      <c r="C187" s="107">
        <f>39150*E2</f>
        <v>39150</v>
      </c>
      <c r="D187" s="101"/>
      <c r="E187" s="101"/>
      <c r="F187" s="101"/>
      <c r="G187" s="101"/>
      <c r="H187" s="101"/>
      <c r="I187" s="101"/>
      <c r="J187" s="101"/>
      <c r="K187" s="101"/>
    </row>
    <row r="188" spans="1:11" ht="12.75">
      <c r="A188" s="101"/>
      <c r="B188" s="102">
        <v>182</v>
      </c>
      <c r="C188" s="107">
        <f>39300*E2</f>
        <v>39300</v>
      </c>
      <c r="D188" s="101"/>
      <c r="E188" s="101"/>
      <c r="F188" s="101"/>
      <c r="G188" s="101"/>
      <c r="H188" s="101"/>
      <c r="I188" s="101"/>
      <c r="J188" s="101"/>
      <c r="K188" s="101"/>
    </row>
    <row r="189" spans="1:11" ht="12.75">
      <c r="A189" s="101"/>
      <c r="B189" s="102">
        <v>183</v>
      </c>
      <c r="C189" s="107">
        <f>39450*E2</f>
        <v>39450</v>
      </c>
      <c r="D189" s="101"/>
      <c r="E189" s="101"/>
      <c r="F189" s="101"/>
      <c r="G189" s="101"/>
      <c r="H189" s="101"/>
      <c r="I189" s="101"/>
      <c r="J189" s="101"/>
      <c r="K189" s="101"/>
    </row>
    <row r="190" spans="1:11" ht="12.75">
      <c r="A190" s="101"/>
      <c r="B190" s="102">
        <v>184</v>
      </c>
      <c r="C190" s="107">
        <f>39600*E2</f>
        <v>39600</v>
      </c>
      <c r="D190" s="101"/>
      <c r="E190" s="101"/>
      <c r="F190" s="101"/>
      <c r="G190" s="101"/>
      <c r="H190" s="101"/>
      <c r="I190" s="101"/>
      <c r="J190" s="101"/>
      <c r="K190" s="101"/>
    </row>
    <row r="191" spans="1:11" ht="12.75">
      <c r="A191" s="101"/>
      <c r="B191" s="102">
        <v>185</v>
      </c>
      <c r="C191" s="109">
        <f>39750*E2</f>
        <v>39750</v>
      </c>
      <c r="D191" s="101"/>
      <c r="E191" s="101"/>
      <c r="F191" s="101"/>
      <c r="G191" s="101"/>
      <c r="H191" s="101"/>
      <c r="I191" s="101"/>
      <c r="J191" s="101"/>
      <c r="K191" s="101"/>
    </row>
    <row r="192" spans="1:11" ht="12.75">
      <c r="A192" s="101"/>
      <c r="B192" s="102">
        <v>186</v>
      </c>
      <c r="C192" s="107">
        <f>39900*E2</f>
        <v>39900</v>
      </c>
      <c r="D192" s="101"/>
      <c r="E192" s="101"/>
      <c r="F192" s="101"/>
      <c r="G192" s="101"/>
      <c r="H192" s="101"/>
      <c r="I192" s="101"/>
      <c r="J192" s="101"/>
      <c r="K192" s="101"/>
    </row>
    <row r="193" spans="1:11" ht="12.75">
      <c r="A193" s="101"/>
      <c r="B193" s="102">
        <v>187</v>
      </c>
      <c r="C193" s="107">
        <f>40050*E2</f>
        <v>40050</v>
      </c>
      <c r="D193" s="101"/>
      <c r="E193" s="101"/>
      <c r="F193" s="101"/>
      <c r="G193" s="101"/>
      <c r="H193" s="101"/>
      <c r="I193" s="101"/>
      <c r="J193" s="101"/>
      <c r="K193" s="101"/>
    </row>
    <row r="194" spans="1:11" ht="12.75">
      <c r="A194" s="101"/>
      <c r="B194" s="102">
        <v>188</v>
      </c>
      <c r="C194" s="107">
        <f>40200*E2</f>
        <v>40200</v>
      </c>
      <c r="D194" s="101"/>
      <c r="E194" s="101"/>
      <c r="F194" s="101"/>
      <c r="G194" s="101"/>
      <c r="H194" s="101"/>
      <c r="I194" s="101"/>
      <c r="J194" s="101"/>
      <c r="K194" s="101"/>
    </row>
    <row r="195" spans="1:11" ht="12.75">
      <c r="A195" s="101"/>
      <c r="B195" s="102">
        <v>189</v>
      </c>
      <c r="C195" s="107">
        <f>40350*E2</f>
        <v>40350</v>
      </c>
      <c r="D195" s="101"/>
      <c r="E195" s="101"/>
      <c r="F195" s="101"/>
      <c r="G195" s="101"/>
      <c r="H195" s="101"/>
      <c r="I195" s="101"/>
      <c r="J195" s="101"/>
      <c r="K195" s="101"/>
    </row>
    <row r="196" spans="1:11" ht="12.75">
      <c r="A196" s="101"/>
      <c r="B196" s="102">
        <v>190</v>
      </c>
      <c r="C196" s="109">
        <f>40500*E2</f>
        <v>40500</v>
      </c>
      <c r="D196" s="101"/>
      <c r="E196" s="101"/>
      <c r="F196" s="101"/>
      <c r="G196" s="101"/>
      <c r="H196" s="101"/>
      <c r="I196" s="101"/>
      <c r="J196" s="101"/>
      <c r="K196" s="101"/>
    </row>
    <row r="197" spans="1:11" ht="12.75">
      <c r="A197" s="101"/>
      <c r="B197" s="102">
        <v>191</v>
      </c>
      <c r="C197" s="107">
        <f>40650*E2</f>
        <v>40650</v>
      </c>
      <c r="D197" s="101"/>
      <c r="E197" s="101"/>
      <c r="F197" s="101"/>
      <c r="G197" s="101"/>
      <c r="H197" s="101"/>
      <c r="I197" s="101"/>
      <c r="J197" s="101"/>
      <c r="K197" s="101"/>
    </row>
    <row r="198" spans="1:11" ht="12.75">
      <c r="A198" s="101"/>
      <c r="B198" s="102">
        <v>192</v>
      </c>
      <c r="C198" s="107">
        <f>40800*E2</f>
        <v>40800</v>
      </c>
      <c r="D198" s="101"/>
      <c r="E198" s="101"/>
      <c r="F198" s="101"/>
      <c r="G198" s="101"/>
      <c r="H198" s="101"/>
      <c r="I198" s="101"/>
      <c r="J198" s="101"/>
      <c r="K198" s="101"/>
    </row>
    <row r="199" spans="1:11" ht="12.75">
      <c r="A199" s="101"/>
      <c r="B199" s="102">
        <v>193</v>
      </c>
      <c r="C199" s="107">
        <f>40950*E2</f>
        <v>40950</v>
      </c>
      <c r="D199" s="101"/>
      <c r="E199" s="101"/>
      <c r="F199" s="101"/>
      <c r="G199" s="101"/>
      <c r="H199" s="101"/>
      <c r="I199" s="101"/>
      <c r="J199" s="101"/>
      <c r="K199" s="101"/>
    </row>
    <row r="200" spans="1:11" ht="12.75">
      <c r="A200" s="101"/>
      <c r="B200" s="102">
        <v>194</v>
      </c>
      <c r="C200" s="107">
        <f>41100*E2</f>
        <v>41100</v>
      </c>
      <c r="D200" s="101"/>
      <c r="E200" s="101"/>
      <c r="F200" s="101"/>
      <c r="G200" s="101"/>
      <c r="H200" s="101"/>
      <c r="I200" s="101"/>
      <c r="J200" s="101"/>
      <c r="K200" s="101"/>
    </row>
    <row r="201" spans="1:11" ht="12.75">
      <c r="A201" s="101"/>
      <c r="B201" s="102">
        <v>195</v>
      </c>
      <c r="C201" s="109">
        <f>41250*E2</f>
        <v>41250</v>
      </c>
      <c r="D201" s="101"/>
      <c r="E201" s="101"/>
      <c r="F201" s="101"/>
      <c r="G201" s="101"/>
      <c r="H201" s="101"/>
      <c r="I201" s="101"/>
      <c r="J201" s="101"/>
      <c r="K201" s="101"/>
    </row>
    <row r="202" spans="1:11" ht="12.75">
      <c r="A202" s="101"/>
      <c r="B202" s="102">
        <v>196</v>
      </c>
      <c r="C202" s="107">
        <f>41400*E2</f>
        <v>41400</v>
      </c>
      <c r="D202" s="101"/>
      <c r="E202" s="101"/>
      <c r="F202" s="101"/>
      <c r="G202" s="101"/>
      <c r="H202" s="101"/>
      <c r="I202" s="101"/>
      <c r="J202" s="101"/>
      <c r="K202" s="101"/>
    </row>
    <row r="203" spans="1:11" ht="12.75">
      <c r="A203" s="101"/>
      <c r="B203" s="102">
        <v>197</v>
      </c>
      <c r="C203" s="107">
        <f>41550*E2</f>
        <v>41550</v>
      </c>
      <c r="D203" s="101"/>
      <c r="E203" s="101"/>
      <c r="F203" s="101"/>
      <c r="G203" s="101"/>
      <c r="H203" s="101"/>
      <c r="I203" s="101"/>
      <c r="J203" s="101"/>
      <c r="K203" s="101"/>
    </row>
    <row r="204" spans="1:11" ht="12.75">
      <c r="A204" s="101"/>
      <c r="B204" s="102">
        <v>198</v>
      </c>
      <c r="C204" s="107">
        <f>41700*E2</f>
        <v>41700</v>
      </c>
      <c r="D204" s="101"/>
      <c r="E204" s="101"/>
      <c r="F204" s="101"/>
      <c r="G204" s="101"/>
      <c r="H204" s="101"/>
      <c r="I204" s="101"/>
      <c r="J204" s="101"/>
      <c r="K204" s="101"/>
    </row>
    <row r="205" spans="1:11" ht="12.75">
      <c r="A205" s="101"/>
      <c r="B205" s="102">
        <v>199</v>
      </c>
      <c r="C205" s="107">
        <f>41850*E2</f>
        <v>41850</v>
      </c>
      <c r="D205" s="101"/>
      <c r="E205" s="101"/>
      <c r="F205" s="101"/>
      <c r="G205" s="101"/>
      <c r="H205" s="101"/>
      <c r="I205" s="101"/>
      <c r="J205" s="101"/>
      <c r="K205" s="101"/>
    </row>
    <row r="206" spans="1:11" ht="12.75">
      <c r="A206" s="101"/>
      <c r="B206" s="102">
        <v>200</v>
      </c>
      <c r="C206" s="109">
        <f>42000*E2</f>
        <v>42000</v>
      </c>
      <c r="D206" s="101"/>
      <c r="E206" s="101"/>
      <c r="F206" s="101"/>
      <c r="G206" s="101"/>
      <c r="H206" s="101"/>
      <c r="I206" s="101"/>
      <c r="J206" s="101"/>
      <c r="K206" s="101"/>
    </row>
    <row r="207" spans="1:11" ht="12.75">
      <c r="A207" s="101"/>
      <c r="B207" s="102">
        <v>201</v>
      </c>
      <c r="C207" s="107">
        <f>42150*E2</f>
        <v>42150</v>
      </c>
      <c r="D207" s="101"/>
      <c r="E207" s="101"/>
      <c r="F207" s="101"/>
      <c r="G207" s="101"/>
      <c r="H207" s="101"/>
      <c r="I207" s="101"/>
      <c r="J207" s="101"/>
      <c r="K207" s="101"/>
    </row>
    <row r="208" spans="1:11" ht="12.75">
      <c r="A208" s="101"/>
      <c r="B208" s="102">
        <v>202</v>
      </c>
      <c r="C208" s="107">
        <f>42300*E2</f>
        <v>42300</v>
      </c>
      <c r="D208" s="101"/>
      <c r="E208" s="101"/>
      <c r="F208" s="101"/>
      <c r="G208" s="101"/>
      <c r="H208" s="101"/>
      <c r="I208" s="101"/>
      <c r="J208" s="101"/>
      <c r="K208" s="101"/>
    </row>
    <row r="209" spans="1:11" ht="12.75">
      <c r="A209" s="101"/>
      <c r="B209" s="102">
        <v>203</v>
      </c>
      <c r="C209" s="107">
        <f>42450*E2</f>
        <v>42450</v>
      </c>
      <c r="D209" s="101"/>
      <c r="E209" s="101"/>
      <c r="F209" s="101"/>
      <c r="G209" s="101"/>
      <c r="H209" s="101"/>
      <c r="I209" s="101"/>
      <c r="J209" s="101"/>
      <c r="K209" s="101"/>
    </row>
    <row r="210" spans="1:11" ht="12.75">
      <c r="A210" s="101"/>
      <c r="B210" s="102">
        <v>204</v>
      </c>
      <c r="C210" s="107">
        <f>42600*E2</f>
        <v>42600</v>
      </c>
      <c r="D210" s="101"/>
      <c r="E210" s="101"/>
      <c r="F210" s="101"/>
      <c r="G210" s="101"/>
      <c r="H210" s="101"/>
      <c r="I210" s="101"/>
      <c r="J210" s="101"/>
      <c r="K210" s="101"/>
    </row>
    <row r="211" spans="1:11" ht="12.75">
      <c r="A211" s="101"/>
      <c r="B211" s="102">
        <v>205</v>
      </c>
      <c r="C211" s="109">
        <f>42750*E2</f>
        <v>42750</v>
      </c>
      <c r="D211" s="101"/>
      <c r="E211" s="101"/>
      <c r="F211" s="101"/>
      <c r="G211" s="101"/>
      <c r="H211" s="101"/>
      <c r="I211" s="101"/>
      <c r="J211" s="101"/>
      <c r="K211" s="101"/>
    </row>
    <row r="212" spans="1:11" ht="12.75">
      <c r="A212" s="101"/>
      <c r="B212" s="102">
        <v>206</v>
      </c>
      <c r="C212" s="107">
        <f>42900*E2</f>
        <v>42900</v>
      </c>
      <c r="D212" s="101"/>
      <c r="E212" s="101"/>
      <c r="F212" s="101"/>
      <c r="G212" s="101"/>
      <c r="H212" s="101"/>
      <c r="I212" s="101"/>
      <c r="J212" s="101"/>
      <c r="K212" s="101"/>
    </row>
    <row r="213" spans="1:11" ht="12.75">
      <c r="A213" s="101"/>
      <c r="B213" s="102">
        <v>207</v>
      </c>
      <c r="C213" s="107">
        <f>43050*E2</f>
        <v>43050</v>
      </c>
      <c r="D213" s="101"/>
      <c r="E213" s="101"/>
      <c r="F213" s="101"/>
      <c r="G213" s="101"/>
      <c r="H213" s="101"/>
      <c r="I213" s="101"/>
      <c r="J213" s="101"/>
      <c r="K213" s="101"/>
    </row>
    <row r="214" spans="1:11" ht="12.75">
      <c r="A214" s="101"/>
      <c r="B214" s="102">
        <v>208</v>
      </c>
      <c r="C214" s="107">
        <f>43200*E2</f>
        <v>43200</v>
      </c>
      <c r="D214" s="101"/>
      <c r="E214" s="101"/>
      <c r="F214" s="101"/>
      <c r="G214" s="101"/>
      <c r="H214" s="101"/>
      <c r="I214" s="101"/>
      <c r="J214" s="101"/>
      <c r="K214" s="101"/>
    </row>
    <row r="215" spans="1:11" ht="12.75">
      <c r="A215" s="101"/>
      <c r="B215" s="102">
        <v>209</v>
      </c>
      <c r="C215" s="107">
        <f>43350*E2</f>
        <v>43350</v>
      </c>
      <c r="D215" s="101"/>
      <c r="E215" s="101"/>
      <c r="F215" s="101"/>
      <c r="G215" s="101"/>
      <c r="H215" s="101"/>
      <c r="I215" s="101"/>
      <c r="J215" s="101"/>
      <c r="K215" s="101"/>
    </row>
    <row r="216" spans="1:11" ht="12.75">
      <c r="A216" s="101"/>
      <c r="B216" s="102">
        <v>210</v>
      </c>
      <c r="C216" s="109">
        <f>43500*E2</f>
        <v>43500</v>
      </c>
      <c r="D216" s="101"/>
      <c r="E216" s="101"/>
      <c r="F216" s="101"/>
      <c r="G216" s="101"/>
      <c r="H216" s="101"/>
      <c r="I216" s="101"/>
      <c r="J216" s="101"/>
      <c r="K216" s="101"/>
    </row>
    <row r="217" spans="1:11" ht="12.75">
      <c r="A217" s="101"/>
      <c r="B217" s="102">
        <v>211</v>
      </c>
      <c r="C217" s="107">
        <f>43650*E2</f>
        <v>43650</v>
      </c>
      <c r="D217" s="101"/>
      <c r="E217" s="101"/>
      <c r="F217" s="101"/>
      <c r="G217" s="101"/>
      <c r="H217" s="101"/>
      <c r="I217" s="101"/>
      <c r="J217" s="101"/>
      <c r="K217" s="101"/>
    </row>
    <row r="218" spans="1:11" ht="12.75">
      <c r="A218" s="101"/>
      <c r="B218" s="102">
        <v>212</v>
      </c>
      <c r="C218" s="107">
        <f>43800*E2</f>
        <v>43800</v>
      </c>
      <c r="D218" s="101"/>
      <c r="E218" s="101"/>
      <c r="F218" s="101"/>
      <c r="G218" s="101"/>
      <c r="H218" s="101"/>
      <c r="I218" s="101"/>
      <c r="J218" s="101"/>
      <c r="K218" s="101"/>
    </row>
    <row r="219" spans="1:11" ht="12.75">
      <c r="A219" s="101"/>
      <c r="B219" s="102">
        <v>213</v>
      </c>
      <c r="C219" s="107">
        <f>43950*E2</f>
        <v>43950</v>
      </c>
      <c r="D219" s="101"/>
      <c r="E219" s="101"/>
      <c r="F219" s="101"/>
      <c r="G219" s="101"/>
      <c r="H219" s="101"/>
      <c r="I219" s="101"/>
      <c r="J219" s="101"/>
      <c r="K219" s="101"/>
    </row>
    <row r="220" spans="1:11" ht="12.75">
      <c r="A220" s="101"/>
      <c r="B220" s="102">
        <v>214</v>
      </c>
      <c r="C220" s="107">
        <f>44100*E2</f>
        <v>44100</v>
      </c>
      <c r="D220" s="101"/>
      <c r="E220" s="101"/>
      <c r="F220" s="101"/>
      <c r="G220" s="101"/>
      <c r="H220" s="101"/>
      <c r="I220" s="101"/>
      <c r="J220" s="101"/>
      <c r="K220" s="101"/>
    </row>
    <row r="221" spans="1:11" ht="12.75">
      <c r="A221" s="101"/>
      <c r="B221" s="102">
        <v>215</v>
      </c>
      <c r="C221" s="109">
        <f>44250*E2</f>
        <v>44250</v>
      </c>
      <c r="D221" s="101"/>
      <c r="E221" s="101"/>
      <c r="F221" s="101"/>
      <c r="G221" s="101"/>
      <c r="H221" s="101"/>
      <c r="I221" s="101"/>
      <c r="J221" s="101"/>
      <c r="K221" s="101"/>
    </row>
    <row r="222" spans="1:11" ht="12.75">
      <c r="A222" s="101"/>
      <c r="B222" s="102">
        <v>216</v>
      </c>
      <c r="C222" s="107">
        <f>44400*E2</f>
        <v>44400</v>
      </c>
      <c r="D222" s="101"/>
      <c r="E222" s="101"/>
      <c r="F222" s="101"/>
      <c r="G222" s="101"/>
      <c r="H222" s="101"/>
      <c r="I222" s="101"/>
      <c r="J222" s="101"/>
      <c r="K222" s="101"/>
    </row>
    <row r="223" spans="1:11" ht="12.75">
      <c r="A223" s="101"/>
      <c r="B223" s="102">
        <v>217</v>
      </c>
      <c r="C223" s="107">
        <f>44550*E2</f>
        <v>44550</v>
      </c>
      <c r="D223" s="101"/>
      <c r="E223" s="101"/>
      <c r="F223" s="101"/>
      <c r="G223" s="101"/>
      <c r="H223" s="101"/>
      <c r="I223" s="101"/>
      <c r="J223" s="101"/>
      <c r="K223" s="101"/>
    </row>
    <row r="224" spans="1:11" ht="12.75">
      <c r="A224" s="101"/>
      <c r="B224" s="102">
        <v>218</v>
      </c>
      <c r="C224" s="107">
        <f>44700*E2</f>
        <v>44700</v>
      </c>
      <c r="D224" s="101"/>
      <c r="E224" s="101"/>
      <c r="F224" s="101"/>
      <c r="G224" s="101"/>
      <c r="H224" s="101"/>
      <c r="I224" s="101"/>
      <c r="J224" s="101"/>
      <c r="K224" s="101"/>
    </row>
    <row r="225" spans="1:11" ht="12.75">
      <c r="A225" s="101"/>
      <c r="B225" s="102">
        <v>219</v>
      </c>
      <c r="C225" s="107">
        <f>44850*E2</f>
        <v>44850</v>
      </c>
      <c r="D225" s="101"/>
      <c r="E225" s="101"/>
      <c r="F225" s="101"/>
      <c r="G225" s="101"/>
      <c r="H225" s="101"/>
      <c r="I225" s="101"/>
      <c r="J225" s="101"/>
      <c r="K225" s="101"/>
    </row>
    <row r="226" spans="1:11" ht="12.75">
      <c r="A226" s="101"/>
      <c r="B226" s="102">
        <v>220</v>
      </c>
      <c r="C226" s="109">
        <f>45000*E2</f>
        <v>45000</v>
      </c>
      <c r="D226" s="101"/>
      <c r="E226" s="101"/>
      <c r="F226" s="101"/>
      <c r="G226" s="101"/>
      <c r="H226" s="101"/>
      <c r="I226" s="101"/>
      <c r="J226" s="101"/>
      <c r="K226" s="101"/>
    </row>
    <row r="227" spans="1:11" ht="12.75">
      <c r="A227" s="101"/>
      <c r="B227" s="102">
        <v>221</v>
      </c>
      <c r="C227" s="107">
        <f>45150*E2</f>
        <v>45150</v>
      </c>
      <c r="D227" s="101"/>
      <c r="E227" s="101"/>
      <c r="F227" s="101"/>
      <c r="G227" s="101"/>
      <c r="H227" s="101"/>
      <c r="I227" s="101"/>
      <c r="J227" s="101"/>
      <c r="K227" s="101"/>
    </row>
    <row r="228" spans="1:11" ht="12.75">
      <c r="A228" s="101"/>
      <c r="B228" s="102">
        <v>222</v>
      </c>
      <c r="C228" s="107">
        <f>45300*E2</f>
        <v>45300</v>
      </c>
      <c r="D228" s="101"/>
      <c r="E228" s="101"/>
      <c r="F228" s="101"/>
      <c r="G228" s="101"/>
      <c r="H228" s="101"/>
      <c r="I228" s="101"/>
      <c r="J228" s="101"/>
      <c r="K228" s="101"/>
    </row>
    <row r="229" spans="1:11" ht="12.75">
      <c r="A229" s="101"/>
      <c r="B229" s="102">
        <v>223</v>
      </c>
      <c r="C229" s="107">
        <f>45450*E2</f>
        <v>45450</v>
      </c>
      <c r="D229" s="101"/>
      <c r="E229" s="101"/>
      <c r="F229" s="101"/>
      <c r="G229" s="101"/>
      <c r="H229" s="101"/>
      <c r="I229" s="101"/>
      <c r="J229" s="101"/>
      <c r="K229" s="101"/>
    </row>
    <row r="230" spans="1:11" ht="12.75">
      <c r="A230" s="101"/>
      <c r="B230" s="102">
        <v>224</v>
      </c>
      <c r="C230" s="107">
        <f>45600*E2</f>
        <v>45600</v>
      </c>
      <c r="D230" s="101"/>
      <c r="E230" s="101"/>
      <c r="F230" s="101"/>
      <c r="G230" s="101"/>
      <c r="H230" s="101"/>
      <c r="I230" s="101"/>
      <c r="J230" s="101"/>
      <c r="K230" s="101"/>
    </row>
    <row r="231" spans="1:11" ht="12.75">
      <c r="A231" s="101"/>
      <c r="B231" s="102">
        <v>225</v>
      </c>
      <c r="C231" s="109">
        <f>45750*E2</f>
        <v>45750</v>
      </c>
      <c r="D231" s="101"/>
      <c r="E231" s="101"/>
      <c r="F231" s="101"/>
      <c r="G231" s="101"/>
      <c r="H231" s="101"/>
      <c r="I231" s="101"/>
      <c r="J231" s="101"/>
      <c r="K231" s="101"/>
    </row>
    <row r="232" spans="1:11" ht="12.75">
      <c r="A232" s="101"/>
      <c r="B232" s="102">
        <v>226</v>
      </c>
      <c r="C232" s="107">
        <f>45900*E2</f>
        <v>45900</v>
      </c>
      <c r="D232" s="101"/>
      <c r="E232" s="101"/>
      <c r="F232" s="101"/>
      <c r="G232" s="101"/>
      <c r="H232" s="101"/>
      <c r="I232" s="101"/>
      <c r="J232" s="101"/>
      <c r="K232" s="101"/>
    </row>
    <row r="233" spans="1:11" ht="12.75">
      <c r="A233" s="101"/>
      <c r="B233" s="102">
        <v>227</v>
      </c>
      <c r="C233" s="107">
        <f>46050*E2</f>
        <v>46050</v>
      </c>
      <c r="D233" s="101"/>
      <c r="E233" s="101"/>
      <c r="F233" s="101"/>
      <c r="G233" s="101"/>
      <c r="H233" s="101"/>
      <c r="I233" s="101"/>
      <c r="J233" s="101"/>
      <c r="K233" s="101"/>
    </row>
    <row r="234" spans="1:11" ht="12.75">
      <c r="A234" s="101"/>
      <c r="B234" s="102">
        <v>228</v>
      </c>
      <c r="C234" s="107">
        <f>46200*E2</f>
        <v>46200</v>
      </c>
      <c r="D234" s="101"/>
      <c r="E234" s="101"/>
      <c r="F234" s="101"/>
      <c r="G234" s="101"/>
      <c r="H234" s="101"/>
      <c r="I234" s="101"/>
      <c r="J234" s="101"/>
      <c r="K234" s="101"/>
    </row>
    <row r="235" spans="1:11" ht="12.75">
      <c r="A235" s="101"/>
      <c r="B235" s="102">
        <v>229</v>
      </c>
      <c r="C235" s="107">
        <f>46350*E2</f>
        <v>46350</v>
      </c>
      <c r="D235" s="101"/>
      <c r="E235" s="101"/>
      <c r="F235" s="101"/>
      <c r="G235" s="101"/>
      <c r="H235" s="101"/>
      <c r="I235" s="101"/>
      <c r="J235" s="101"/>
      <c r="K235" s="101"/>
    </row>
    <row r="236" spans="1:11" ht="12.75">
      <c r="A236" s="101"/>
      <c r="B236" s="102">
        <v>230</v>
      </c>
      <c r="C236" s="109">
        <f>46500*E2</f>
        <v>46500</v>
      </c>
      <c r="D236" s="101"/>
      <c r="E236" s="101"/>
      <c r="F236" s="101"/>
      <c r="G236" s="101"/>
      <c r="H236" s="101"/>
      <c r="I236" s="101"/>
      <c r="J236" s="101"/>
      <c r="K236" s="101"/>
    </row>
    <row r="237" spans="1:11" ht="12.75">
      <c r="A237" s="101"/>
      <c r="B237" s="102">
        <v>231</v>
      </c>
      <c r="C237" s="107">
        <f>46650*E2</f>
        <v>46650</v>
      </c>
      <c r="D237" s="101"/>
      <c r="E237" s="101"/>
      <c r="F237" s="101"/>
      <c r="G237" s="101"/>
      <c r="H237" s="101"/>
      <c r="I237" s="101"/>
      <c r="J237" s="101"/>
      <c r="K237" s="101"/>
    </row>
    <row r="238" spans="1:11" ht="12.75">
      <c r="A238" s="101"/>
      <c r="B238" s="102">
        <v>232</v>
      </c>
      <c r="C238" s="107">
        <f>46800*E2</f>
        <v>46800</v>
      </c>
      <c r="D238" s="101"/>
      <c r="E238" s="101"/>
      <c r="F238" s="101"/>
      <c r="G238" s="101"/>
      <c r="H238" s="101"/>
      <c r="I238" s="101"/>
      <c r="J238" s="101"/>
      <c r="K238" s="101"/>
    </row>
    <row r="239" spans="1:11" ht="12.75">
      <c r="A239" s="101"/>
      <c r="B239" s="102">
        <v>233</v>
      </c>
      <c r="C239" s="107">
        <f>46950*E2</f>
        <v>46950</v>
      </c>
      <c r="D239" s="101"/>
      <c r="E239" s="101"/>
      <c r="F239" s="101"/>
      <c r="G239" s="101"/>
      <c r="H239" s="101"/>
      <c r="I239" s="101"/>
      <c r="J239" s="101"/>
      <c r="K239" s="101"/>
    </row>
    <row r="240" spans="1:11" ht="12.75">
      <c r="A240" s="101"/>
      <c r="B240" s="102">
        <v>234</v>
      </c>
      <c r="C240" s="107">
        <f>47100*E2</f>
        <v>47100</v>
      </c>
      <c r="D240" s="101"/>
      <c r="E240" s="101"/>
      <c r="F240" s="101"/>
      <c r="G240" s="101"/>
      <c r="H240" s="101"/>
      <c r="I240" s="101"/>
      <c r="J240" s="101"/>
      <c r="K240" s="101"/>
    </row>
    <row r="241" spans="1:11" ht="12.75">
      <c r="A241" s="101"/>
      <c r="B241" s="102">
        <v>235</v>
      </c>
      <c r="C241" s="109">
        <f>47250*E2</f>
        <v>47250</v>
      </c>
      <c r="D241" s="101"/>
      <c r="E241" s="101"/>
      <c r="F241" s="101"/>
      <c r="G241" s="101"/>
      <c r="H241" s="101"/>
      <c r="I241" s="101"/>
      <c r="J241" s="101"/>
      <c r="K241" s="101"/>
    </row>
    <row r="242" spans="1:11" ht="12.75">
      <c r="A242" s="101"/>
      <c r="B242" s="102">
        <v>236</v>
      </c>
      <c r="C242" s="107">
        <f>47400*E2</f>
        <v>47400</v>
      </c>
      <c r="D242" s="101"/>
      <c r="E242" s="101"/>
      <c r="F242" s="101"/>
      <c r="G242" s="101"/>
      <c r="H242" s="101"/>
      <c r="I242" s="101"/>
      <c r="J242" s="101"/>
      <c r="K242" s="101"/>
    </row>
    <row r="243" spans="1:11" ht="12.75">
      <c r="A243" s="101"/>
      <c r="B243" s="102">
        <v>237</v>
      </c>
      <c r="C243" s="107">
        <f>47550*E2</f>
        <v>47550</v>
      </c>
      <c r="D243" s="101"/>
      <c r="E243" s="101"/>
      <c r="F243" s="101"/>
      <c r="G243" s="101"/>
      <c r="H243" s="101"/>
      <c r="I243" s="101"/>
      <c r="J243" s="101"/>
      <c r="K243" s="101"/>
    </row>
    <row r="244" spans="1:11" ht="12.75">
      <c r="A244" s="101"/>
      <c r="B244" s="102">
        <v>238</v>
      </c>
      <c r="C244" s="107">
        <f>47700*E2</f>
        <v>47700</v>
      </c>
      <c r="D244" s="101"/>
      <c r="E244" s="101"/>
      <c r="F244" s="101"/>
      <c r="G244" s="101"/>
      <c r="H244" s="101"/>
      <c r="I244" s="101"/>
      <c r="J244" s="101"/>
      <c r="K244" s="101"/>
    </row>
    <row r="245" spans="1:11" ht="12.75">
      <c r="A245" s="101"/>
      <c r="B245" s="102">
        <v>239</v>
      </c>
      <c r="C245" s="107">
        <f>47850*E2</f>
        <v>47850</v>
      </c>
      <c r="D245" s="101"/>
      <c r="E245" s="101"/>
      <c r="F245" s="101"/>
      <c r="G245" s="101"/>
      <c r="H245" s="101"/>
      <c r="I245" s="101"/>
      <c r="J245" s="101"/>
      <c r="K245" s="101"/>
    </row>
    <row r="246" spans="1:11" ht="12.75">
      <c r="A246" s="101"/>
      <c r="B246" s="102">
        <v>240</v>
      </c>
      <c r="C246" s="109">
        <f>48000*E2</f>
        <v>48000</v>
      </c>
      <c r="D246" s="101"/>
      <c r="E246" s="101"/>
      <c r="F246" s="101"/>
      <c r="G246" s="101"/>
      <c r="H246" s="101"/>
      <c r="I246" s="101"/>
      <c r="J246" s="101"/>
      <c r="K246" s="101"/>
    </row>
    <row r="247" spans="1:11" ht="12.75">
      <c r="A247" s="101"/>
      <c r="B247" s="102">
        <v>241</v>
      </c>
      <c r="C247" s="107">
        <f>48150*E2</f>
        <v>48150</v>
      </c>
      <c r="D247" s="101"/>
      <c r="E247" s="101"/>
      <c r="F247" s="101"/>
      <c r="G247" s="101"/>
      <c r="H247" s="101"/>
      <c r="I247" s="101"/>
      <c r="J247" s="101"/>
      <c r="K247" s="101"/>
    </row>
    <row r="248" spans="1:11" ht="12.75">
      <c r="A248" s="101"/>
      <c r="B248" s="102">
        <v>242</v>
      </c>
      <c r="C248" s="107">
        <f>48300*E2</f>
        <v>48300</v>
      </c>
      <c r="D248" s="101"/>
      <c r="E248" s="101"/>
      <c r="F248" s="101"/>
      <c r="G248" s="101"/>
      <c r="H248" s="101"/>
      <c r="I248" s="101"/>
      <c r="J248" s="101"/>
      <c r="K248" s="101"/>
    </row>
    <row r="249" spans="1:11" ht="12.75">
      <c r="A249" s="101"/>
      <c r="B249" s="102">
        <v>243</v>
      </c>
      <c r="C249" s="107">
        <f>48450*E2</f>
        <v>48450</v>
      </c>
      <c r="D249" s="101"/>
      <c r="E249" s="101"/>
      <c r="F249" s="101"/>
      <c r="G249" s="101"/>
      <c r="H249" s="101"/>
      <c r="I249" s="101"/>
      <c r="J249" s="101"/>
      <c r="K249" s="101"/>
    </row>
    <row r="250" spans="1:11" ht="12.75">
      <c r="A250" s="101"/>
      <c r="B250" s="102">
        <v>244</v>
      </c>
      <c r="C250" s="107">
        <f>48600*E2</f>
        <v>48600</v>
      </c>
      <c r="D250" s="101"/>
      <c r="E250" s="101"/>
      <c r="F250" s="101"/>
      <c r="G250" s="101"/>
      <c r="H250" s="101"/>
      <c r="I250" s="101"/>
      <c r="J250" s="101"/>
      <c r="K250" s="101"/>
    </row>
    <row r="251" spans="1:11" ht="12.75">
      <c r="A251" s="101"/>
      <c r="B251" s="102">
        <v>245</v>
      </c>
      <c r="C251" s="109">
        <f>48750*E2</f>
        <v>48750</v>
      </c>
      <c r="D251" s="101"/>
      <c r="E251" s="101"/>
      <c r="F251" s="101"/>
      <c r="G251" s="101"/>
      <c r="H251" s="101"/>
      <c r="I251" s="101"/>
      <c r="J251" s="101"/>
      <c r="K251" s="101"/>
    </row>
    <row r="252" spans="1:11" ht="12.75">
      <c r="A252" s="101"/>
      <c r="B252" s="102">
        <v>246</v>
      </c>
      <c r="C252" s="107">
        <f>48900*E2</f>
        <v>48900</v>
      </c>
      <c r="D252" s="101"/>
      <c r="E252" s="101"/>
      <c r="F252" s="101"/>
      <c r="G252" s="101"/>
      <c r="H252" s="101"/>
      <c r="I252" s="101"/>
      <c r="J252" s="101"/>
      <c r="K252" s="101"/>
    </row>
    <row r="253" spans="1:11" ht="12.75">
      <c r="A253" s="101"/>
      <c r="B253" s="102">
        <v>247</v>
      </c>
      <c r="C253" s="107">
        <f>49050*E2</f>
        <v>49050</v>
      </c>
      <c r="D253" s="101"/>
      <c r="E253" s="101"/>
      <c r="F253" s="101"/>
      <c r="G253" s="101"/>
      <c r="H253" s="101"/>
      <c r="I253" s="101"/>
      <c r="J253" s="101"/>
      <c r="K253" s="101"/>
    </row>
    <row r="254" spans="1:11" ht="12.75">
      <c r="A254" s="101"/>
      <c r="B254" s="102">
        <v>248</v>
      </c>
      <c r="C254" s="107">
        <f>49200*E2</f>
        <v>49200</v>
      </c>
      <c r="D254" s="101"/>
      <c r="E254" s="101"/>
      <c r="F254" s="101"/>
      <c r="G254" s="101"/>
      <c r="H254" s="101"/>
      <c r="I254" s="101"/>
      <c r="J254" s="101"/>
      <c r="K254" s="101"/>
    </row>
    <row r="255" spans="1:11" ht="12.75">
      <c r="A255" s="101"/>
      <c r="B255" s="102">
        <v>249</v>
      </c>
      <c r="C255" s="107">
        <f>49350*E2</f>
        <v>49350</v>
      </c>
      <c r="D255" s="101"/>
      <c r="E255" s="101"/>
      <c r="F255" s="101"/>
      <c r="G255" s="101"/>
      <c r="H255" s="101"/>
      <c r="I255" s="101"/>
      <c r="J255" s="101"/>
      <c r="K255" s="101"/>
    </row>
    <row r="256" spans="1:11" ht="12.75">
      <c r="A256" s="101"/>
      <c r="B256" s="102">
        <v>250</v>
      </c>
      <c r="C256" s="109">
        <f>49500*E2</f>
        <v>49500</v>
      </c>
      <c r="D256" s="101"/>
      <c r="E256" s="101"/>
      <c r="F256" s="101"/>
      <c r="G256" s="101"/>
      <c r="H256" s="101"/>
      <c r="I256" s="101"/>
      <c r="J256" s="101"/>
      <c r="K256" s="101"/>
    </row>
    <row r="257" spans="1:11" ht="12.75">
      <c r="A257" s="101"/>
      <c r="B257" s="102">
        <v>251</v>
      </c>
      <c r="C257" s="107">
        <f>49650*E2</f>
        <v>49650</v>
      </c>
      <c r="D257" s="101"/>
      <c r="E257" s="101"/>
      <c r="F257" s="101"/>
      <c r="G257" s="101"/>
      <c r="H257" s="101"/>
      <c r="I257" s="101"/>
      <c r="J257" s="101"/>
      <c r="K257" s="101"/>
    </row>
    <row r="258" spans="1:11" ht="12.75">
      <c r="A258" s="101"/>
      <c r="B258" s="102">
        <v>252</v>
      </c>
      <c r="C258" s="107">
        <f>49800*E2</f>
        <v>49800</v>
      </c>
      <c r="D258" s="101"/>
      <c r="E258" s="101"/>
      <c r="F258" s="101"/>
      <c r="G258" s="101"/>
      <c r="H258" s="101"/>
      <c r="I258" s="101"/>
      <c r="J258" s="101"/>
      <c r="K258" s="101"/>
    </row>
    <row r="259" spans="1:11" ht="12.75">
      <c r="A259" s="101"/>
      <c r="B259" s="102">
        <v>253</v>
      </c>
      <c r="C259" s="107">
        <f>49950*E2</f>
        <v>49950</v>
      </c>
      <c r="D259" s="101"/>
      <c r="E259" s="101"/>
      <c r="F259" s="101"/>
      <c r="G259" s="101"/>
      <c r="H259" s="101"/>
      <c r="I259" s="101"/>
      <c r="J259" s="101"/>
      <c r="K259" s="101"/>
    </row>
    <row r="260" spans="1:11" ht="12.75">
      <c r="A260" s="101"/>
      <c r="B260" s="102">
        <v>254</v>
      </c>
      <c r="C260" s="107">
        <f>50100*E2</f>
        <v>50100</v>
      </c>
      <c r="D260" s="101"/>
      <c r="E260" s="101"/>
      <c r="F260" s="101"/>
      <c r="G260" s="101"/>
      <c r="H260" s="101"/>
      <c r="I260" s="101"/>
      <c r="J260" s="101"/>
      <c r="K260" s="101"/>
    </row>
    <row r="261" spans="1:11" ht="12.75">
      <c r="A261" s="101"/>
      <c r="B261" s="102">
        <v>255</v>
      </c>
      <c r="C261" s="109">
        <f>50250*E2</f>
        <v>50250</v>
      </c>
      <c r="D261" s="101"/>
      <c r="E261" s="101"/>
      <c r="F261" s="101"/>
      <c r="G261" s="101"/>
      <c r="H261" s="101"/>
      <c r="I261" s="101"/>
      <c r="J261" s="101"/>
      <c r="K261" s="101"/>
    </row>
    <row r="262" spans="1:11" ht="12.75">
      <c r="A262" s="101"/>
      <c r="B262" s="102">
        <v>256</v>
      </c>
      <c r="C262" s="107">
        <f>50400*E2</f>
        <v>50400</v>
      </c>
      <c r="D262" s="101"/>
      <c r="E262" s="101"/>
      <c r="F262" s="101"/>
      <c r="G262" s="101"/>
      <c r="H262" s="101"/>
      <c r="I262" s="101"/>
      <c r="J262" s="101"/>
      <c r="K262" s="101"/>
    </row>
    <row r="263" spans="1:11" ht="12.75">
      <c r="A263" s="101"/>
      <c r="B263" s="102">
        <v>257</v>
      </c>
      <c r="C263" s="107">
        <f>50550*E2</f>
        <v>50550</v>
      </c>
      <c r="D263" s="101"/>
      <c r="E263" s="101"/>
      <c r="F263" s="101"/>
      <c r="G263" s="101"/>
      <c r="H263" s="101"/>
      <c r="I263" s="101"/>
      <c r="J263" s="101"/>
      <c r="K263" s="101"/>
    </row>
    <row r="264" spans="1:11" ht="12.75">
      <c r="A264" s="101"/>
      <c r="B264" s="102">
        <v>258</v>
      </c>
      <c r="C264" s="107">
        <f>50700*E2</f>
        <v>50700</v>
      </c>
      <c r="D264" s="101"/>
      <c r="E264" s="101"/>
      <c r="F264" s="101"/>
      <c r="G264" s="101"/>
      <c r="H264" s="101"/>
      <c r="I264" s="101"/>
      <c r="J264" s="101"/>
      <c r="K264" s="101"/>
    </row>
    <row r="265" spans="1:11" ht="12.75">
      <c r="A265" s="101"/>
      <c r="B265" s="102">
        <v>259</v>
      </c>
      <c r="C265" s="107">
        <f>50850*E2</f>
        <v>50850</v>
      </c>
      <c r="D265" s="101"/>
      <c r="E265" s="101"/>
      <c r="F265" s="101"/>
      <c r="G265" s="101"/>
      <c r="H265" s="101"/>
      <c r="I265" s="101"/>
      <c r="J265" s="101"/>
      <c r="K265" s="101"/>
    </row>
    <row r="266" spans="1:11" ht="12.75">
      <c r="A266" s="101"/>
      <c r="B266" s="102">
        <v>260</v>
      </c>
      <c r="C266" s="109">
        <f>51000*E2</f>
        <v>51000</v>
      </c>
      <c r="D266" s="101"/>
      <c r="E266" s="101"/>
      <c r="F266" s="101"/>
      <c r="G266" s="101"/>
      <c r="H266" s="101"/>
      <c r="I266" s="101"/>
      <c r="J266" s="101"/>
      <c r="K266" s="101"/>
    </row>
    <row r="267" spans="1:11" ht="12.75">
      <c r="A267" s="101"/>
      <c r="B267" s="102">
        <v>261</v>
      </c>
      <c r="C267" s="107">
        <f>51150*E2</f>
        <v>51150</v>
      </c>
      <c r="D267" s="101"/>
      <c r="E267" s="101"/>
      <c r="F267" s="101"/>
      <c r="G267" s="101"/>
      <c r="H267" s="101"/>
      <c r="I267" s="101"/>
      <c r="J267" s="101"/>
      <c r="K267" s="101"/>
    </row>
    <row r="268" spans="1:11" ht="12.75">
      <c r="A268" s="101"/>
      <c r="B268" s="102">
        <v>262</v>
      </c>
      <c r="C268" s="107">
        <f>51300*E2</f>
        <v>51300</v>
      </c>
      <c r="D268" s="101"/>
      <c r="E268" s="101"/>
      <c r="F268" s="101"/>
      <c r="G268" s="101"/>
      <c r="H268" s="101"/>
      <c r="I268" s="101"/>
      <c r="J268" s="101"/>
      <c r="K268" s="101"/>
    </row>
    <row r="269" spans="1:11" ht="12.75">
      <c r="A269" s="101"/>
      <c r="B269" s="102">
        <v>263</v>
      </c>
      <c r="C269" s="107">
        <f>51450*E2</f>
        <v>51450</v>
      </c>
      <c r="D269" s="101"/>
      <c r="E269" s="101"/>
      <c r="F269" s="101"/>
      <c r="G269" s="101"/>
      <c r="H269" s="101"/>
      <c r="I269" s="101"/>
      <c r="J269" s="101"/>
      <c r="K269" s="101"/>
    </row>
    <row r="270" spans="1:11" ht="12.75">
      <c r="A270" s="101"/>
      <c r="B270" s="102">
        <v>264</v>
      </c>
      <c r="C270" s="107">
        <f>51600*E2</f>
        <v>51600</v>
      </c>
      <c r="D270" s="101"/>
      <c r="E270" s="101"/>
      <c r="F270" s="101"/>
      <c r="G270" s="101"/>
      <c r="H270" s="101"/>
      <c r="I270" s="101"/>
      <c r="J270" s="101"/>
      <c r="K270" s="101"/>
    </row>
    <row r="271" spans="1:11" ht="12.75">
      <c r="A271" s="101"/>
      <c r="B271" s="102">
        <v>265</v>
      </c>
      <c r="C271" s="109">
        <f>51750*E2</f>
        <v>51750</v>
      </c>
      <c r="D271" s="101"/>
      <c r="E271" s="101"/>
      <c r="F271" s="101"/>
      <c r="G271" s="101"/>
      <c r="H271" s="101"/>
      <c r="I271" s="101"/>
      <c r="J271" s="101"/>
      <c r="K271" s="101"/>
    </row>
    <row r="272" spans="1:11" ht="12.75">
      <c r="A272" s="101"/>
      <c r="B272" s="102">
        <v>266</v>
      </c>
      <c r="C272" s="107">
        <f>51900*E2</f>
        <v>51900</v>
      </c>
      <c r="D272" s="101"/>
      <c r="E272" s="101"/>
      <c r="F272" s="101"/>
      <c r="G272" s="101"/>
      <c r="H272" s="101"/>
      <c r="I272" s="101"/>
      <c r="J272" s="101"/>
      <c r="K272" s="101"/>
    </row>
    <row r="273" spans="1:11" ht="12.75">
      <c r="A273" s="101"/>
      <c r="B273" s="102">
        <v>267</v>
      </c>
      <c r="C273" s="107">
        <f>52050*E2</f>
        <v>52050</v>
      </c>
      <c r="D273" s="101"/>
      <c r="E273" s="101"/>
      <c r="F273" s="101"/>
      <c r="G273" s="101"/>
      <c r="H273" s="101"/>
      <c r="I273" s="101"/>
      <c r="J273" s="101"/>
      <c r="K273" s="101"/>
    </row>
    <row r="274" spans="1:11" ht="12.75">
      <c r="A274" s="101"/>
      <c r="B274" s="102">
        <v>268</v>
      </c>
      <c r="C274" s="107">
        <f>52200*E2</f>
        <v>52200</v>
      </c>
      <c r="D274" s="101"/>
      <c r="E274" s="101"/>
      <c r="F274" s="101"/>
      <c r="G274" s="101"/>
      <c r="H274" s="101"/>
      <c r="I274" s="101"/>
      <c r="J274" s="101"/>
      <c r="K274" s="101"/>
    </row>
    <row r="275" spans="1:11" ht="12.75">
      <c r="A275" s="101"/>
      <c r="B275" s="102">
        <v>269</v>
      </c>
      <c r="C275" s="107">
        <f>52350*E2</f>
        <v>52350</v>
      </c>
      <c r="D275" s="101"/>
      <c r="E275" s="101"/>
      <c r="F275" s="101"/>
      <c r="G275" s="101"/>
      <c r="H275" s="101"/>
      <c r="I275" s="101"/>
      <c r="J275" s="101"/>
      <c r="K275" s="101"/>
    </row>
    <row r="276" spans="1:11" ht="12.75">
      <c r="A276" s="101"/>
      <c r="B276" s="102">
        <v>270</v>
      </c>
      <c r="C276" s="109">
        <f>52500*E2</f>
        <v>52500</v>
      </c>
      <c r="D276" s="101"/>
      <c r="E276" s="101"/>
      <c r="F276" s="101"/>
      <c r="G276" s="101"/>
      <c r="H276" s="101"/>
      <c r="I276" s="101"/>
      <c r="J276" s="101"/>
      <c r="K276" s="101"/>
    </row>
    <row r="277" spans="1:11" ht="12.75">
      <c r="A277" s="101"/>
      <c r="B277" s="102">
        <v>271</v>
      </c>
      <c r="C277" s="107">
        <f>52650*E2</f>
        <v>52650</v>
      </c>
      <c r="D277" s="101"/>
      <c r="E277" s="101"/>
      <c r="F277" s="101"/>
      <c r="G277" s="101"/>
      <c r="H277" s="101"/>
      <c r="I277" s="101"/>
      <c r="J277" s="101"/>
      <c r="K277" s="101"/>
    </row>
    <row r="278" spans="1:11" ht="12.75">
      <c r="A278" s="101"/>
      <c r="B278" s="102">
        <v>272</v>
      </c>
      <c r="C278" s="107">
        <f>52800*E2</f>
        <v>52800</v>
      </c>
      <c r="D278" s="101"/>
      <c r="E278" s="101"/>
      <c r="F278" s="101"/>
      <c r="G278" s="101"/>
      <c r="H278" s="101"/>
      <c r="I278" s="101"/>
      <c r="J278" s="101"/>
      <c r="K278" s="101"/>
    </row>
    <row r="279" spans="1:11" ht="12.75">
      <c r="A279" s="101"/>
      <c r="B279" s="102">
        <v>273</v>
      </c>
      <c r="C279" s="107">
        <f>52950*E2</f>
        <v>52950</v>
      </c>
      <c r="D279" s="101"/>
      <c r="E279" s="101"/>
      <c r="F279" s="101"/>
      <c r="G279" s="101"/>
      <c r="H279" s="101"/>
      <c r="I279" s="101"/>
      <c r="J279" s="101"/>
      <c r="K279" s="101"/>
    </row>
    <row r="280" spans="1:11" ht="12.75">
      <c r="A280" s="101"/>
      <c r="B280" s="102">
        <v>274</v>
      </c>
      <c r="C280" s="107">
        <f>53100*E2</f>
        <v>53100</v>
      </c>
      <c r="D280" s="101"/>
      <c r="E280" s="101"/>
      <c r="F280" s="101"/>
      <c r="G280" s="101"/>
      <c r="H280" s="101"/>
      <c r="I280" s="101"/>
      <c r="J280" s="101"/>
      <c r="K280" s="101"/>
    </row>
    <row r="281" spans="1:11" ht="12.75">
      <c r="A281" s="101"/>
      <c r="B281" s="102">
        <v>275</v>
      </c>
      <c r="C281" s="109">
        <f>53250*E2</f>
        <v>53250</v>
      </c>
      <c r="D281" s="101"/>
      <c r="E281" s="101"/>
      <c r="F281" s="101"/>
      <c r="G281" s="101"/>
      <c r="H281" s="101"/>
      <c r="I281" s="101"/>
      <c r="J281" s="101"/>
      <c r="K281" s="101"/>
    </row>
    <row r="282" spans="1:11" ht="12.75">
      <c r="A282" s="101"/>
      <c r="B282" s="102">
        <v>276</v>
      </c>
      <c r="C282" s="107">
        <f>53400*E2</f>
        <v>53400</v>
      </c>
      <c r="D282" s="101"/>
      <c r="E282" s="101"/>
      <c r="F282" s="101"/>
      <c r="G282" s="101"/>
      <c r="H282" s="101"/>
      <c r="I282" s="101"/>
      <c r="J282" s="101"/>
      <c r="K282" s="101"/>
    </row>
    <row r="283" spans="1:11" ht="12.75">
      <c r="A283" s="101"/>
      <c r="B283" s="102">
        <v>277</v>
      </c>
      <c r="C283" s="107">
        <f>53550*E2</f>
        <v>53550</v>
      </c>
      <c r="D283" s="101"/>
      <c r="E283" s="101"/>
      <c r="F283" s="101"/>
      <c r="G283" s="101"/>
      <c r="H283" s="101"/>
      <c r="I283" s="101"/>
      <c r="J283" s="101"/>
      <c r="K283" s="101"/>
    </row>
    <row r="284" spans="1:11" ht="12.75">
      <c r="A284" s="101"/>
      <c r="B284" s="102">
        <v>278</v>
      </c>
      <c r="C284" s="107">
        <f>53700*E2</f>
        <v>53700</v>
      </c>
      <c r="D284" s="101"/>
      <c r="E284" s="101"/>
      <c r="F284" s="101"/>
      <c r="G284" s="101"/>
      <c r="H284" s="101"/>
      <c r="I284" s="101"/>
      <c r="J284" s="101"/>
      <c r="K284" s="101"/>
    </row>
    <row r="285" spans="1:11" ht="12.75">
      <c r="A285" s="101"/>
      <c r="B285" s="102">
        <v>279</v>
      </c>
      <c r="C285" s="107">
        <f>53850*E2</f>
        <v>53850</v>
      </c>
      <c r="D285" s="101"/>
      <c r="E285" s="101"/>
      <c r="F285" s="101"/>
      <c r="G285" s="101"/>
      <c r="H285" s="101"/>
      <c r="I285" s="101"/>
      <c r="J285" s="101"/>
      <c r="K285" s="101"/>
    </row>
    <row r="286" spans="1:11" ht="12.75">
      <c r="A286" s="101"/>
      <c r="B286" s="102">
        <v>280</v>
      </c>
      <c r="C286" s="109">
        <f>54000*E2</f>
        <v>54000</v>
      </c>
      <c r="D286" s="101"/>
      <c r="E286" s="101"/>
      <c r="F286" s="101"/>
      <c r="G286" s="101"/>
      <c r="H286" s="101"/>
      <c r="I286" s="101"/>
      <c r="J286" s="101"/>
      <c r="K286" s="101"/>
    </row>
    <row r="287" spans="1:11" ht="12.75">
      <c r="A287" s="101"/>
      <c r="B287" s="102">
        <v>281</v>
      </c>
      <c r="C287" s="107">
        <f>54150*E2</f>
        <v>54150</v>
      </c>
      <c r="D287" s="101"/>
      <c r="E287" s="101"/>
      <c r="F287" s="101"/>
      <c r="G287" s="101"/>
      <c r="H287" s="101"/>
      <c r="I287" s="101"/>
      <c r="J287" s="101"/>
      <c r="K287" s="101"/>
    </row>
    <row r="288" spans="1:11" ht="12.75">
      <c r="A288" s="101"/>
      <c r="B288" s="117">
        <v>282</v>
      </c>
      <c r="C288" s="107">
        <f>54300*E2</f>
        <v>54300</v>
      </c>
      <c r="D288" s="101"/>
      <c r="E288" s="101"/>
      <c r="F288" s="101"/>
      <c r="G288" s="101"/>
      <c r="H288" s="101"/>
      <c r="I288" s="101"/>
      <c r="J288" s="101"/>
      <c r="K288" s="101"/>
    </row>
    <row r="289" spans="1:11" ht="12.75">
      <c r="A289" s="101"/>
      <c r="B289" s="117">
        <v>283</v>
      </c>
      <c r="C289" s="107">
        <f>54450*E2</f>
        <v>54450</v>
      </c>
      <c r="D289" s="101"/>
      <c r="E289" s="101"/>
      <c r="F289" s="101"/>
      <c r="G289" s="101"/>
      <c r="H289" s="101"/>
      <c r="I289" s="101"/>
      <c r="J289" s="101"/>
      <c r="K289" s="101"/>
    </row>
    <row r="290" spans="1:11" ht="12.75">
      <c r="A290" s="101"/>
      <c r="B290" s="117">
        <v>284</v>
      </c>
      <c r="C290" s="107">
        <f>54450*E2</f>
        <v>54450</v>
      </c>
      <c r="D290" s="101"/>
      <c r="E290" s="101"/>
      <c r="F290" s="101"/>
      <c r="G290" s="101"/>
      <c r="H290" s="101"/>
      <c r="I290" s="101"/>
      <c r="J290" s="101"/>
      <c r="K290" s="101"/>
    </row>
    <row r="291" spans="1:11" ht="12.75">
      <c r="A291" s="101"/>
      <c r="B291" s="117">
        <v>285</v>
      </c>
      <c r="C291" s="109">
        <f>54750*E2</f>
        <v>54750</v>
      </c>
      <c r="D291" s="101"/>
      <c r="E291" s="101"/>
      <c r="F291" s="101"/>
      <c r="G291" s="101"/>
      <c r="H291" s="101"/>
      <c r="I291" s="101"/>
      <c r="J291" s="101"/>
      <c r="K291" s="101"/>
    </row>
    <row r="292" spans="1:11" ht="12.75">
      <c r="A292" s="101"/>
      <c r="B292" s="117">
        <v>286</v>
      </c>
      <c r="C292" s="107">
        <f>54900*E2</f>
        <v>54900</v>
      </c>
      <c r="D292" s="101"/>
      <c r="E292" s="101"/>
      <c r="F292" s="101"/>
      <c r="G292" s="101"/>
      <c r="H292" s="101"/>
      <c r="I292" s="101"/>
      <c r="J292" s="101"/>
      <c r="K292" s="101"/>
    </row>
    <row r="293" spans="1:11" ht="12.75">
      <c r="A293" s="101"/>
      <c r="B293" s="117">
        <v>287</v>
      </c>
      <c r="C293" s="107">
        <f>55050*E2</f>
        <v>55050</v>
      </c>
      <c r="D293" s="101"/>
      <c r="E293" s="101"/>
      <c r="F293" s="101"/>
      <c r="G293" s="101"/>
      <c r="H293" s="101"/>
      <c r="I293" s="101"/>
      <c r="J293" s="101"/>
      <c r="K293" s="101"/>
    </row>
    <row r="294" spans="1:11" ht="12.75">
      <c r="A294" s="101"/>
      <c r="B294" s="117">
        <v>288</v>
      </c>
      <c r="C294" s="107">
        <f>55200*E2</f>
        <v>55200</v>
      </c>
      <c r="D294" s="101"/>
      <c r="E294" s="101"/>
      <c r="F294" s="101"/>
      <c r="G294" s="101"/>
      <c r="H294" s="101"/>
      <c r="I294" s="101"/>
      <c r="J294" s="101"/>
      <c r="K294" s="101"/>
    </row>
    <row r="295" spans="1:11" ht="12.75">
      <c r="A295" s="101"/>
      <c r="B295" s="117">
        <v>289</v>
      </c>
      <c r="C295" s="107">
        <f>55350*E2</f>
        <v>55350</v>
      </c>
      <c r="D295" s="101"/>
      <c r="E295" s="101"/>
      <c r="F295" s="101"/>
      <c r="G295" s="101"/>
      <c r="H295" s="101"/>
      <c r="I295" s="101"/>
      <c r="J295" s="101"/>
      <c r="K295" s="101"/>
    </row>
    <row r="296" spans="1:11" ht="12.75">
      <c r="A296" s="101"/>
      <c r="B296" s="117">
        <v>290</v>
      </c>
      <c r="C296" s="109">
        <f>55500*E2</f>
        <v>55500</v>
      </c>
      <c r="D296" s="101"/>
      <c r="E296" s="101"/>
      <c r="F296" s="101"/>
      <c r="G296" s="101"/>
      <c r="H296" s="101"/>
      <c r="I296" s="101"/>
      <c r="J296" s="101"/>
      <c r="K296" s="101"/>
    </row>
    <row r="297" spans="1:11" ht="12.75">
      <c r="A297" s="101"/>
      <c r="B297" s="117">
        <v>291</v>
      </c>
      <c r="C297" s="107">
        <f>55650*E2</f>
        <v>55650</v>
      </c>
      <c r="D297" s="101"/>
      <c r="E297" s="101"/>
      <c r="F297" s="101"/>
      <c r="G297" s="101"/>
      <c r="H297" s="101"/>
      <c r="I297" s="101"/>
      <c r="J297" s="101"/>
      <c r="K297" s="101"/>
    </row>
    <row r="298" spans="1:11" ht="12.75">
      <c r="A298" s="101"/>
      <c r="B298" s="117">
        <v>292</v>
      </c>
      <c r="C298" s="107">
        <f>55800*E2</f>
        <v>55800</v>
      </c>
      <c r="D298" s="101"/>
      <c r="E298" s="101"/>
      <c r="F298" s="101"/>
      <c r="G298" s="101"/>
      <c r="H298" s="101"/>
      <c r="I298" s="101"/>
      <c r="J298" s="101"/>
      <c r="K298" s="101"/>
    </row>
    <row r="299" spans="1:11" ht="12.75">
      <c r="A299" s="101"/>
      <c r="B299" s="117">
        <v>293</v>
      </c>
      <c r="C299" s="107">
        <f>55950*E2</f>
        <v>55950</v>
      </c>
      <c r="D299" s="101"/>
      <c r="E299" s="101"/>
      <c r="F299" s="101"/>
      <c r="G299" s="101"/>
      <c r="H299" s="101"/>
      <c r="I299" s="101"/>
      <c r="J299" s="101"/>
      <c r="K299" s="101"/>
    </row>
    <row r="300" spans="1:11" ht="12.75">
      <c r="A300" s="101"/>
      <c r="B300" s="117">
        <v>294</v>
      </c>
      <c r="C300" s="107">
        <f>56100*E2</f>
        <v>56100</v>
      </c>
      <c r="D300" s="101"/>
      <c r="E300" s="101"/>
      <c r="F300" s="101"/>
      <c r="G300" s="101"/>
      <c r="H300" s="101"/>
      <c r="I300" s="101"/>
      <c r="J300" s="101"/>
      <c r="K300" s="101"/>
    </row>
    <row r="301" spans="1:11" ht="12.75">
      <c r="A301" s="101"/>
      <c r="B301" s="117">
        <v>295</v>
      </c>
      <c r="C301" s="109">
        <f>56250*E2</f>
        <v>56250</v>
      </c>
      <c r="D301" s="101"/>
      <c r="E301" s="101"/>
      <c r="F301" s="101"/>
      <c r="G301" s="101"/>
      <c r="H301" s="101"/>
      <c r="I301" s="101"/>
      <c r="J301" s="101"/>
      <c r="K301" s="101"/>
    </row>
    <row r="302" spans="1:11" ht="12.75">
      <c r="A302" s="101"/>
      <c r="B302" s="117">
        <v>296</v>
      </c>
      <c r="C302" s="107">
        <f>56400*E2</f>
        <v>56400</v>
      </c>
      <c r="D302" s="101"/>
      <c r="E302" s="101"/>
      <c r="F302" s="101"/>
      <c r="G302" s="101"/>
      <c r="H302" s="101"/>
      <c r="I302" s="101"/>
      <c r="J302" s="101"/>
      <c r="K302" s="101"/>
    </row>
    <row r="303" spans="1:11" ht="12.75">
      <c r="A303" s="101"/>
      <c r="B303" s="117">
        <v>297</v>
      </c>
      <c r="C303" s="107">
        <f>56550*E2</f>
        <v>56550</v>
      </c>
      <c r="D303" s="101"/>
      <c r="E303" s="101"/>
      <c r="F303" s="101"/>
      <c r="G303" s="101"/>
      <c r="H303" s="101"/>
      <c r="I303" s="101"/>
      <c r="J303" s="101"/>
      <c r="K303" s="101"/>
    </row>
    <row r="304" spans="1:11" ht="12.75">
      <c r="A304" s="101"/>
      <c r="B304" s="117">
        <v>298</v>
      </c>
      <c r="C304" s="107">
        <f>56700*E2</f>
        <v>56700</v>
      </c>
      <c r="D304" s="101"/>
      <c r="E304" s="101"/>
      <c r="F304" s="101"/>
      <c r="G304" s="101"/>
      <c r="H304" s="101"/>
      <c r="I304" s="101"/>
      <c r="J304" s="101"/>
      <c r="K304" s="101"/>
    </row>
    <row r="305" spans="1:11" ht="12.75">
      <c r="A305" s="101"/>
      <c r="B305" s="117">
        <v>299</v>
      </c>
      <c r="C305" s="107">
        <f>56850*E2</f>
        <v>56850</v>
      </c>
      <c r="D305" s="101"/>
      <c r="E305" s="101"/>
      <c r="F305" s="101"/>
      <c r="G305" s="101"/>
      <c r="H305" s="101"/>
      <c r="I305" s="101"/>
      <c r="J305" s="101"/>
      <c r="K305" s="101"/>
    </row>
    <row r="306" spans="1:11" ht="12.75">
      <c r="A306" s="101"/>
      <c r="B306" s="117">
        <v>300</v>
      </c>
      <c r="C306" s="109">
        <f>57000*E2</f>
        <v>57000</v>
      </c>
      <c r="D306" s="101"/>
      <c r="E306" s="101"/>
      <c r="F306" s="101"/>
      <c r="G306" s="101"/>
      <c r="H306" s="101"/>
      <c r="I306" s="101"/>
      <c r="J306" s="101"/>
      <c r="K306" s="101"/>
    </row>
    <row r="307" spans="1:11" ht="12.75">
      <c r="A307" s="101"/>
      <c r="B307" s="117">
        <v>301</v>
      </c>
      <c r="C307" s="107">
        <f>57150*E2</f>
        <v>57150</v>
      </c>
      <c r="D307" s="101"/>
      <c r="E307" s="101"/>
      <c r="F307" s="101"/>
      <c r="G307" s="101"/>
      <c r="H307" s="101"/>
      <c r="I307" s="101"/>
      <c r="J307" s="101"/>
      <c r="K307" s="101"/>
    </row>
    <row r="308" spans="1:11" ht="12.75">
      <c r="A308" s="101"/>
      <c r="B308" s="117">
        <v>302</v>
      </c>
      <c r="C308" s="107">
        <f>57300*E2</f>
        <v>57300</v>
      </c>
      <c r="D308" s="101"/>
      <c r="E308" s="101"/>
      <c r="F308" s="101"/>
      <c r="G308" s="101"/>
      <c r="H308" s="101"/>
      <c r="I308" s="101"/>
      <c r="J308" s="101"/>
      <c r="K308" s="101"/>
    </row>
    <row r="309" spans="1:11" ht="12.75">
      <c r="A309" s="101"/>
      <c r="B309" s="117">
        <v>303</v>
      </c>
      <c r="C309" s="107">
        <f>57450*E2</f>
        <v>57450</v>
      </c>
      <c r="D309" s="101"/>
      <c r="E309" s="101"/>
      <c r="F309" s="101"/>
      <c r="G309" s="101"/>
      <c r="H309" s="101"/>
      <c r="I309" s="101"/>
      <c r="J309" s="101"/>
      <c r="K309" s="101"/>
    </row>
    <row r="310" spans="1:11" ht="12.75">
      <c r="A310" s="101"/>
      <c r="B310" s="117">
        <v>304</v>
      </c>
      <c r="C310" s="107">
        <f>57600*E2</f>
        <v>57600</v>
      </c>
      <c r="D310" s="101"/>
      <c r="E310" s="101"/>
      <c r="F310" s="101"/>
      <c r="G310" s="101"/>
      <c r="H310" s="101"/>
      <c r="I310" s="101"/>
      <c r="J310" s="101"/>
      <c r="K310" s="101"/>
    </row>
    <row r="311" spans="1:11" ht="12.75">
      <c r="A311" s="101"/>
      <c r="B311" s="117">
        <v>305</v>
      </c>
      <c r="C311" s="109">
        <f>57750*E2</f>
        <v>57750</v>
      </c>
      <c r="D311" s="101"/>
      <c r="E311" s="101"/>
      <c r="F311" s="101"/>
      <c r="G311" s="101"/>
      <c r="H311" s="101"/>
      <c r="I311" s="101"/>
      <c r="J311" s="101"/>
      <c r="K311" s="101"/>
    </row>
    <row r="312" spans="1:11" ht="12.75">
      <c r="A312" s="101"/>
      <c r="B312" s="117">
        <v>306</v>
      </c>
      <c r="C312" s="107">
        <f>57900*E2</f>
        <v>57900</v>
      </c>
      <c r="D312" s="101"/>
      <c r="E312" s="101"/>
      <c r="F312" s="101"/>
      <c r="G312" s="101"/>
      <c r="H312" s="101"/>
      <c r="I312" s="101"/>
      <c r="J312" s="101"/>
      <c r="K312" s="101"/>
    </row>
    <row r="313" spans="1:11" ht="12.75">
      <c r="A313" s="101"/>
      <c r="B313" s="117">
        <v>307</v>
      </c>
      <c r="C313" s="107">
        <f>58050*E2</f>
        <v>58050</v>
      </c>
      <c r="D313" s="101"/>
      <c r="E313" s="101"/>
      <c r="F313" s="101"/>
      <c r="G313" s="101"/>
      <c r="H313" s="101"/>
      <c r="I313" s="101"/>
      <c r="J313" s="101"/>
      <c r="K313" s="101"/>
    </row>
    <row r="314" spans="1:11" ht="12.75">
      <c r="A314" s="101"/>
      <c r="B314" s="117">
        <v>308</v>
      </c>
      <c r="C314" s="107">
        <f>58200*E2</f>
        <v>58200</v>
      </c>
      <c r="D314" s="101"/>
      <c r="E314" s="101"/>
      <c r="F314" s="101"/>
      <c r="G314" s="101"/>
      <c r="H314" s="101"/>
      <c r="I314" s="101"/>
      <c r="J314" s="101"/>
      <c r="K314" s="101"/>
    </row>
    <row r="315" spans="1:11" ht="12.75">
      <c r="A315" s="101"/>
      <c r="B315" s="117">
        <v>309</v>
      </c>
      <c r="C315" s="107">
        <f>58350*E2</f>
        <v>58350</v>
      </c>
      <c r="D315" s="101"/>
      <c r="E315" s="101"/>
      <c r="F315" s="101"/>
      <c r="G315" s="101"/>
      <c r="H315" s="101"/>
      <c r="I315" s="101"/>
      <c r="J315" s="101"/>
      <c r="K315" s="101"/>
    </row>
    <row r="316" spans="1:11" ht="12.75">
      <c r="A316" s="101"/>
      <c r="B316" s="117">
        <v>310</v>
      </c>
      <c r="C316" s="109">
        <f>58500*E2</f>
        <v>58500</v>
      </c>
      <c r="D316" s="101"/>
      <c r="E316" s="101"/>
      <c r="F316" s="101"/>
      <c r="G316" s="101"/>
      <c r="H316" s="101"/>
      <c r="I316" s="101"/>
      <c r="J316" s="101"/>
      <c r="K316" s="101"/>
    </row>
    <row r="317" spans="1:11" ht="12.75">
      <c r="A317" s="101"/>
      <c r="B317" s="117">
        <v>311</v>
      </c>
      <c r="C317" s="107">
        <f>58650*E2</f>
        <v>58650</v>
      </c>
      <c r="D317" s="101"/>
      <c r="E317" s="101"/>
      <c r="F317" s="101"/>
      <c r="G317" s="101"/>
      <c r="H317" s="101"/>
      <c r="I317" s="101"/>
      <c r="J317" s="101"/>
      <c r="K317" s="101"/>
    </row>
    <row r="318" spans="1:11" ht="12.75">
      <c r="A318" s="101"/>
      <c r="B318" s="117">
        <v>312</v>
      </c>
      <c r="C318" s="107">
        <f>58800*E2</f>
        <v>58800</v>
      </c>
      <c r="D318" s="101"/>
      <c r="E318" s="101"/>
      <c r="F318" s="101"/>
      <c r="G318" s="101"/>
      <c r="H318" s="101"/>
      <c r="I318" s="101"/>
      <c r="J318" s="101"/>
      <c r="K318" s="101"/>
    </row>
    <row r="319" spans="1:11" ht="12.75">
      <c r="A319" s="101"/>
      <c r="B319" s="117">
        <v>313</v>
      </c>
      <c r="C319" s="107">
        <f>58950*E2</f>
        <v>58950</v>
      </c>
      <c r="D319" s="101"/>
      <c r="E319" s="101"/>
      <c r="F319" s="101"/>
      <c r="G319" s="101"/>
      <c r="H319" s="101"/>
      <c r="I319" s="101"/>
      <c r="J319" s="101"/>
      <c r="K319" s="101"/>
    </row>
    <row r="320" spans="1:11" ht="12.75">
      <c r="A320" s="101"/>
      <c r="B320" s="117">
        <v>314</v>
      </c>
      <c r="C320" s="107">
        <f>59100*E2</f>
        <v>59100</v>
      </c>
      <c r="D320" s="101"/>
      <c r="E320" s="101"/>
      <c r="F320" s="101"/>
      <c r="G320" s="101"/>
      <c r="H320" s="101"/>
      <c r="I320" s="101"/>
      <c r="J320" s="101"/>
      <c r="K320" s="101"/>
    </row>
    <row r="321" spans="1:11" ht="12.75">
      <c r="A321" s="101"/>
      <c r="B321" s="117">
        <v>315</v>
      </c>
      <c r="C321" s="109">
        <f>59250*E2</f>
        <v>59250</v>
      </c>
      <c r="D321" s="101"/>
      <c r="E321" s="101"/>
      <c r="F321" s="101"/>
      <c r="G321" s="101"/>
      <c r="H321" s="101"/>
      <c r="I321" s="101"/>
      <c r="J321" s="101"/>
      <c r="K321" s="101"/>
    </row>
    <row r="322" spans="1:11" ht="12.75">
      <c r="A322" s="101"/>
      <c r="B322" s="117">
        <v>316</v>
      </c>
      <c r="C322" s="107">
        <f>59400*E2</f>
        <v>59400</v>
      </c>
      <c r="D322" s="101"/>
      <c r="E322" s="101"/>
      <c r="F322" s="101"/>
      <c r="G322" s="101"/>
      <c r="H322" s="101"/>
      <c r="I322" s="101"/>
      <c r="J322" s="101"/>
      <c r="K322" s="101"/>
    </row>
    <row r="323" spans="1:11" ht="12.75">
      <c r="A323" s="101"/>
      <c r="B323" s="117">
        <v>317</v>
      </c>
      <c r="C323" s="107">
        <f>59550*E2</f>
        <v>59550</v>
      </c>
      <c r="D323" s="101"/>
      <c r="E323" s="101"/>
      <c r="F323" s="101"/>
      <c r="G323" s="101"/>
      <c r="H323" s="101"/>
      <c r="I323" s="101"/>
      <c r="J323" s="101"/>
      <c r="K323" s="101"/>
    </row>
    <row r="324" spans="1:11" ht="12.75">
      <c r="A324" s="101"/>
      <c r="B324" s="117">
        <v>318</v>
      </c>
      <c r="C324" s="107">
        <f>59700*E2</f>
        <v>59700</v>
      </c>
      <c r="D324" s="101"/>
      <c r="E324" s="101"/>
      <c r="F324" s="101"/>
      <c r="G324" s="101"/>
      <c r="H324" s="101"/>
      <c r="I324" s="101"/>
      <c r="J324" s="101"/>
      <c r="K324" s="101"/>
    </row>
    <row r="325" spans="1:11" ht="12.75">
      <c r="A325" s="101"/>
      <c r="B325" s="117">
        <v>319</v>
      </c>
      <c r="C325" s="107">
        <f>59850*E2</f>
        <v>59850</v>
      </c>
      <c r="D325" s="101"/>
      <c r="E325" s="101"/>
      <c r="F325" s="101"/>
      <c r="G325" s="101"/>
      <c r="H325" s="101"/>
      <c r="I325" s="101"/>
      <c r="J325" s="101"/>
      <c r="K325" s="101"/>
    </row>
    <row r="326" spans="1:11" ht="12.75">
      <c r="A326" s="101"/>
      <c r="B326" s="117">
        <v>320</v>
      </c>
      <c r="C326" s="109">
        <f>60000*E2</f>
        <v>60000</v>
      </c>
      <c r="D326" s="101"/>
      <c r="E326" s="101"/>
      <c r="F326" s="101"/>
      <c r="G326" s="101"/>
      <c r="H326" s="101"/>
      <c r="I326" s="101"/>
      <c r="J326" s="101"/>
      <c r="K326" s="101"/>
    </row>
    <row r="327" spans="1:11" ht="12.75">
      <c r="A327" s="101"/>
      <c r="B327" s="102">
        <v>321</v>
      </c>
      <c r="C327" s="107">
        <f>60150*E2</f>
        <v>60150</v>
      </c>
      <c r="D327" s="101"/>
      <c r="E327" s="101"/>
      <c r="F327" s="101"/>
      <c r="G327" s="101"/>
      <c r="H327" s="101"/>
      <c r="I327" s="101"/>
      <c r="J327" s="101"/>
      <c r="K327" s="101"/>
    </row>
    <row r="328" spans="1:11" ht="12.75">
      <c r="A328" s="101"/>
      <c r="B328" s="102">
        <v>322</v>
      </c>
      <c r="C328" s="107">
        <f>60300*E2</f>
        <v>60300</v>
      </c>
      <c r="D328" s="101"/>
      <c r="E328" s="101"/>
      <c r="F328" s="101"/>
      <c r="G328" s="101"/>
      <c r="H328" s="101"/>
      <c r="I328" s="101"/>
      <c r="J328" s="101"/>
      <c r="K328" s="101"/>
    </row>
    <row r="329" spans="1:11" ht="12.75">
      <c r="A329" s="101"/>
      <c r="B329" s="102">
        <v>323</v>
      </c>
      <c r="C329" s="107">
        <f>60450*E2</f>
        <v>60450</v>
      </c>
      <c r="D329" s="101"/>
      <c r="E329" s="101"/>
      <c r="F329" s="101"/>
      <c r="G329" s="101"/>
      <c r="H329" s="101"/>
      <c r="I329" s="101"/>
      <c r="J329" s="101"/>
      <c r="K329" s="101"/>
    </row>
    <row r="330" spans="1:11" ht="12.75">
      <c r="A330" s="101"/>
      <c r="B330" s="102">
        <v>324</v>
      </c>
      <c r="C330" s="107">
        <f>60600*E2</f>
        <v>60600</v>
      </c>
      <c r="D330" s="101"/>
      <c r="E330" s="101"/>
      <c r="F330" s="101"/>
      <c r="G330" s="101"/>
      <c r="H330" s="101"/>
      <c r="I330" s="101"/>
      <c r="J330" s="101"/>
      <c r="K330" s="101"/>
    </row>
    <row r="331" spans="1:11" ht="12.75">
      <c r="A331" s="101"/>
      <c r="B331" s="102">
        <v>325</v>
      </c>
      <c r="C331" s="109">
        <f>60750*E2</f>
        <v>60750</v>
      </c>
      <c r="D331" s="101"/>
      <c r="E331" s="101"/>
      <c r="F331" s="101"/>
      <c r="G331" s="101"/>
      <c r="H331" s="101"/>
      <c r="I331" s="101"/>
      <c r="J331" s="101"/>
      <c r="K331" s="101"/>
    </row>
    <row r="332" spans="1:11" ht="12.75">
      <c r="A332" s="101"/>
      <c r="B332" s="102">
        <v>326</v>
      </c>
      <c r="C332" s="107">
        <f>60900*E2</f>
        <v>60900</v>
      </c>
      <c r="D332" s="101"/>
      <c r="E332" s="101"/>
      <c r="F332" s="101"/>
      <c r="G332" s="101"/>
      <c r="H332" s="101"/>
      <c r="I332" s="101"/>
      <c r="J332" s="101"/>
      <c r="K332" s="101"/>
    </row>
    <row r="333" spans="1:11" ht="12.75">
      <c r="A333" s="101"/>
      <c r="B333" s="102">
        <v>327</v>
      </c>
      <c r="C333" s="107">
        <f>61050*E2</f>
        <v>61050</v>
      </c>
      <c r="D333" s="101"/>
      <c r="E333" s="101"/>
      <c r="F333" s="101"/>
      <c r="G333" s="101"/>
      <c r="H333" s="101"/>
      <c r="I333" s="101"/>
      <c r="J333" s="101"/>
      <c r="K333" s="101"/>
    </row>
    <row r="334" spans="1:11" ht="12.75">
      <c r="A334" s="101"/>
      <c r="B334" s="102">
        <v>328</v>
      </c>
      <c r="C334" s="107">
        <f>61200*E2</f>
        <v>61200</v>
      </c>
      <c r="D334" s="101"/>
      <c r="E334" s="101"/>
      <c r="F334" s="101"/>
      <c r="G334" s="101"/>
      <c r="H334" s="101"/>
      <c r="I334" s="101"/>
      <c r="J334" s="101"/>
      <c r="K334" s="101"/>
    </row>
    <row r="335" spans="1:11" ht="12.75">
      <c r="A335" s="101"/>
      <c r="B335" s="102">
        <v>329</v>
      </c>
      <c r="C335" s="107">
        <f>61350*E2</f>
        <v>61350</v>
      </c>
      <c r="D335" s="101"/>
      <c r="E335" s="101"/>
      <c r="F335" s="101"/>
      <c r="G335" s="101"/>
      <c r="H335" s="101"/>
      <c r="I335" s="101"/>
      <c r="J335" s="101"/>
      <c r="K335" s="101"/>
    </row>
    <row r="336" spans="1:11" ht="12.75">
      <c r="A336" s="101"/>
      <c r="B336" s="102">
        <v>330</v>
      </c>
      <c r="C336" s="109">
        <f>61500*E2</f>
        <v>61500</v>
      </c>
      <c r="D336" s="101"/>
      <c r="E336" s="101"/>
      <c r="F336" s="101"/>
      <c r="G336" s="101"/>
      <c r="H336" s="101"/>
      <c r="I336" s="101"/>
      <c r="J336" s="101"/>
      <c r="K336" s="101"/>
    </row>
    <row r="337" spans="1:11" ht="12.75">
      <c r="A337" s="101"/>
      <c r="B337" s="102">
        <v>331</v>
      </c>
      <c r="C337" s="107">
        <f>61650*E2</f>
        <v>61650</v>
      </c>
      <c r="D337" s="101"/>
      <c r="E337" s="101"/>
      <c r="F337" s="101"/>
      <c r="G337" s="101"/>
      <c r="H337" s="101"/>
      <c r="I337" s="101"/>
      <c r="J337" s="101"/>
      <c r="K337" s="101"/>
    </row>
    <row r="338" spans="1:11" ht="12.75">
      <c r="A338" s="101"/>
      <c r="B338" s="102">
        <v>332</v>
      </c>
      <c r="C338" s="107">
        <f>61800*E2</f>
        <v>61800</v>
      </c>
      <c r="D338" s="101"/>
      <c r="E338" s="101"/>
      <c r="F338" s="101"/>
      <c r="G338" s="101"/>
      <c r="H338" s="101"/>
      <c r="I338" s="101"/>
      <c r="J338" s="101"/>
      <c r="K338" s="101"/>
    </row>
    <row r="339" spans="1:11" ht="12.75">
      <c r="A339" s="101"/>
      <c r="B339" s="102">
        <v>333</v>
      </c>
      <c r="C339" s="107">
        <f>61950*E2</f>
        <v>61950</v>
      </c>
      <c r="D339" s="101"/>
      <c r="E339" s="101"/>
      <c r="F339" s="101"/>
      <c r="G339" s="101"/>
      <c r="H339" s="101"/>
      <c r="I339" s="101"/>
      <c r="J339" s="101"/>
      <c r="K339" s="101"/>
    </row>
    <row r="340" spans="1:11" ht="12.75">
      <c r="A340" s="101"/>
      <c r="B340" s="102">
        <v>334</v>
      </c>
      <c r="C340" s="107">
        <f>62100*E2</f>
        <v>62100</v>
      </c>
      <c r="D340" s="101"/>
      <c r="E340" s="101"/>
      <c r="F340" s="101"/>
      <c r="G340" s="101"/>
      <c r="H340" s="101"/>
      <c r="I340" s="101"/>
      <c r="J340" s="101"/>
      <c r="K340" s="101"/>
    </row>
    <row r="341" spans="1:11" ht="12.75">
      <c r="A341" s="101"/>
      <c r="B341" s="102">
        <v>335</v>
      </c>
      <c r="C341" s="109">
        <f>62250*E2</f>
        <v>62250</v>
      </c>
      <c r="D341" s="101"/>
      <c r="E341" s="101"/>
      <c r="F341" s="101"/>
      <c r="G341" s="101"/>
      <c r="H341" s="101"/>
      <c r="I341" s="101"/>
      <c r="J341" s="101"/>
      <c r="K341" s="101"/>
    </row>
    <row r="342" spans="1:11" ht="12.75">
      <c r="A342" s="101"/>
      <c r="B342" s="102">
        <v>336</v>
      </c>
      <c r="C342" s="107">
        <f>62400*E2</f>
        <v>62400</v>
      </c>
      <c r="D342" s="101"/>
      <c r="E342" s="101"/>
      <c r="F342" s="101"/>
      <c r="G342" s="101"/>
      <c r="H342" s="101"/>
      <c r="I342" s="101"/>
      <c r="J342" s="101"/>
      <c r="K342" s="101"/>
    </row>
    <row r="343" spans="1:11" ht="12.75">
      <c r="A343" s="101"/>
      <c r="B343" s="102">
        <v>337</v>
      </c>
      <c r="C343" s="107">
        <f>62550*E2</f>
        <v>62550</v>
      </c>
      <c r="D343" s="101"/>
      <c r="E343" s="101"/>
      <c r="F343" s="101"/>
      <c r="G343" s="101"/>
      <c r="H343" s="101"/>
      <c r="I343" s="101"/>
      <c r="J343" s="101"/>
      <c r="K343" s="101"/>
    </row>
    <row r="344" spans="1:11" ht="12.75">
      <c r="A344" s="101"/>
      <c r="B344" s="102">
        <v>338</v>
      </c>
      <c r="C344" s="107">
        <f>62700*E2</f>
        <v>62700</v>
      </c>
      <c r="D344" s="101"/>
      <c r="E344" s="101"/>
      <c r="F344" s="101"/>
      <c r="G344" s="101"/>
      <c r="H344" s="101"/>
      <c r="I344" s="101"/>
      <c r="J344" s="101"/>
      <c r="K344" s="101"/>
    </row>
    <row r="345" spans="1:11" ht="12.75">
      <c r="A345" s="101"/>
      <c r="B345" s="102">
        <v>339</v>
      </c>
      <c r="C345" s="107">
        <f>62850*E2</f>
        <v>62850</v>
      </c>
      <c r="D345" s="101"/>
      <c r="E345" s="101"/>
      <c r="F345" s="101"/>
      <c r="G345" s="101"/>
      <c r="H345" s="101"/>
      <c r="I345" s="101"/>
      <c r="J345" s="101"/>
      <c r="K345" s="101"/>
    </row>
    <row r="346" spans="1:11" ht="12.75">
      <c r="A346" s="101"/>
      <c r="B346" s="102">
        <v>340</v>
      </c>
      <c r="C346" s="109">
        <f>63000*E2</f>
        <v>63000</v>
      </c>
      <c r="D346" s="101"/>
      <c r="E346" s="101"/>
      <c r="F346" s="101"/>
      <c r="G346" s="101"/>
      <c r="H346" s="101"/>
      <c r="I346" s="101"/>
      <c r="J346" s="101"/>
      <c r="K346" s="101"/>
    </row>
    <row r="347" spans="1:11" ht="12.75">
      <c r="A347" s="101"/>
      <c r="B347" s="102">
        <v>341</v>
      </c>
      <c r="C347" s="107">
        <f>63150*E2</f>
        <v>63150</v>
      </c>
      <c r="D347" s="101"/>
      <c r="E347" s="101"/>
      <c r="F347" s="101"/>
      <c r="G347" s="101"/>
      <c r="H347" s="101"/>
      <c r="I347" s="101"/>
      <c r="J347" s="101"/>
      <c r="K347" s="101"/>
    </row>
    <row r="348" spans="1:11" ht="12.75">
      <c r="A348" s="101"/>
      <c r="B348" s="102">
        <v>342</v>
      </c>
      <c r="C348" s="107">
        <f>63300*E2</f>
        <v>63300</v>
      </c>
      <c r="D348" s="101"/>
      <c r="E348" s="101"/>
      <c r="F348" s="101"/>
      <c r="G348" s="101"/>
      <c r="H348" s="101"/>
      <c r="I348" s="101"/>
      <c r="J348" s="101"/>
      <c r="K348" s="101"/>
    </row>
    <row r="349" spans="1:11" ht="12.75">
      <c r="A349" s="101"/>
      <c r="B349" s="102">
        <v>343</v>
      </c>
      <c r="C349" s="107">
        <f>63450*E2</f>
        <v>63450</v>
      </c>
      <c r="D349" s="101"/>
      <c r="E349" s="101"/>
      <c r="F349" s="101"/>
      <c r="G349" s="101"/>
      <c r="H349" s="101"/>
      <c r="I349" s="101"/>
      <c r="J349" s="101"/>
      <c r="K349" s="101"/>
    </row>
    <row r="350" spans="1:11" ht="12.75">
      <c r="A350" s="101"/>
      <c r="B350" s="102">
        <v>344</v>
      </c>
      <c r="C350" s="107">
        <f>63600*E2</f>
        <v>63600</v>
      </c>
      <c r="D350" s="101"/>
      <c r="E350" s="101"/>
      <c r="F350" s="101"/>
      <c r="G350" s="101"/>
      <c r="H350" s="101"/>
      <c r="I350" s="101"/>
      <c r="J350" s="101"/>
      <c r="K350" s="101"/>
    </row>
    <row r="351" spans="1:11" ht="12.75">
      <c r="A351" s="101"/>
      <c r="B351" s="102">
        <v>345</v>
      </c>
      <c r="C351" s="109">
        <f>63750*E2</f>
        <v>63750</v>
      </c>
      <c r="D351" s="101"/>
      <c r="E351" s="101"/>
      <c r="F351" s="101"/>
      <c r="G351" s="101"/>
      <c r="H351" s="101"/>
      <c r="I351" s="101"/>
      <c r="J351" s="101"/>
      <c r="K351" s="101"/>
    </row>
    <row r="352" spans="1:11" ht="12.75">
      <c r="A352" s="101"/>
      <c r="B352" s="102">
        <v>346</v>
      </c>
      <c r="C352" s="107">
        <f>63900*E2</f>
        <v>63900</v>
      </c>
      <c r="D352" s="101"/>
      <c r="E352" s="101"/>
      <c r="F352" s="101"/>
      <c r="G352" s="101"/>
      <c r="H352" s="101"/>
      <c r="I352" s="101"/>
      <c r="J352" s="101"/>
      <c r="K352" s="101"/>
    </row>
    <row r="353" spans="1:11" ht="12.75">
      <c r="A353" s="101"/>
      <c r="B353" s="102">
        <v>347</v>
      </c>
      <c r="C353" s="107">
        <f>64050*E2</f>
        <v>64050</v>
      </c>
      <c r="D353" s="101"/>
      <c r="E353" s="101"/>
      <c r="F353" s="101"/>
      <c r="G353" s="101"/>
      <c r="H353" s="101"/>
      <c r="I353" s="101"/>
      <c r="J353" s="101"/>
      <c r="K353" s="101"/>
    </row>
    <row r="354" spans="1:11" ht="12.75">
      <c r="A354" s="101"/>
      <c r="B354" s="102">
        <v>348</v>
      </c>
      <c r="C354" s="107">
        <f>64200*E2</f>
        <v>64200</v>
      </c>
      <c r="D354" s="101"/>
      <c r="E354" s="101"/>
      <c r="F354" s="101"/>
      <c r="G354" s="101"/>
      <c r="H354" s="101"/>
      <c r="I354" s="101"/>
      <c r="J354" s="101"/>
      <c r="K354" s="101"/>
    </row>
    <row r="355" spans="1:11" ht="12.75">
      <c r="A355" s="101"/>
      <c r="B355" s="102">
        <v>349</v>
      </c>
      <c r="C355" s="107">
        <f>64350*E2</f>
        <v>64350</v>
      </c>
      <c r="D355" s="101"/>
      <c r="E355" s="101"/>
      <c r="F355" s="101"/>
      <c r="G355" s="101"/>
      <c r="H355" s="101"/>
      <c r="I355" s="101"/>
      <c r="J355" s="101"/>
      <c r="K355" s="101"/>
    </row>
    <row r="356" spans="1:11" ht="12.75">
      <c r="A356" s="101"/>
      <c r="B356" s="102">
        <v>350</v>
      </c>
      <c r="C356" s="109">
        <f>64500*E2</f>
        <v>64500</v>
      </c>
      <c r="D356" s="101"/>
      <c r="E356" s="101"/>
      <c r="F356" s="101"/>
      <c r="G356" s="101"/>
      <c r="H356" s="101"/>
      <c r="I356" s="101"/>
      <c r="J356" s="101"/>
      <c r="K356" s="101"/>
    </row>
    <row r="357" spans="1:11" ht="12.75">
      <c r="A357" s="101"/>
      <c r="B357" s="102">
        <v>351</v>
      </c>
      <c r="C357" s="107">
        <f>64650*E2</f>
        <v>64650</v>
      </c>
      <c r="D357" s="101"/>
      <c r="E357" s="101"/>
      <c r="F357" s="101"/>
      <c r="G357" s="101"/>
      <c r="H357" s="101"/>
      <c r="I357" s="101"/>
      <c r="J357" s="101"/>
      <c r="K357" s="101"/>
    </row>
    <row r="358" spans="1:11" ht="12.75">
      <c r="A358" s="101"/>
      <c r="B358" s="102">
        <v>352</v>
      </c>
      <c r="C358" s="107">
        <f>64800*E2</f>
        <v>64800</v>
      </c>
      <c r="D358" s="101"/>
      <c r="E358" s="101"/>
      <c r="F358" s="101"/>
      <c r="G358" s="101"/>
      <c r="H358" s="101"/>
      <c r="I358" s="101"/>
      <c r="J358" s="101"/>
      <c r="K358" s="101"/>
    </row>
    <row r="359" spans="1:11" ht="12.75">
      <c r="A359" s="101"/>
      <c r="B359" s="102">
        <v>353</v>
      </c>
      <c r="C359" s="107">
        <f>64950*E2</f>
        <v>64950</v>
      </c>
      <c r="D359" s="101"/>
      <c r="E359" s="101"/>
      <c r="F359" s="101"/>
      <c r="G359" s="101"/>
      <c r="H359" s="101"/>
      <c r="I359" s="101"/>
      <c r="J359" s="101"/>
      <c r="K359" s="101"/>
    </row>
    <row r="360" spans="1:11" ht="12.75">
      <c r="A360" s="101"/>
      <c r="B360" s="102">
        <v>354</v>
      </c>
      <c r="C360" s="107">
        <f>65100*E2</f>
        <v>65100</v>
      </c>
      <c r="D360" s="101"/>
      <c r="E360" s="101"/>
      <c r="F360" s="101"/>
      <c r="G360" s="101"/>
      <c r="H360" s="101"/>
      <c r="I360" s="101"/>
      <c r="J360" s="101"/>
      <c r="K360" s="101"/>
    </row>
    <row r="361" spans="1:11" ht="12.75">
      <c r="A361" s="101"/>
      <c r="B361" s="102">
        <v>355</v>
      </c>
      <c r="C361" s="109">
        <f>65250*E2</f>
        <v>65250</v>
      </c>
      <c r="D361" s="101"/>
      <c r="E361" s="101"/>
      <c r="F361" s="101"/>
      <c r="G361" s="101"/>
      <c r="H361" s="101"/>
      <c r="I361" s="101"/>
      <c r="J361" s="101"/>
      <c r="K361" s="101"/>
    </row>
    <row r="362" spans="1:11" ht="12.75">
      <c r="A362" s="101"/>
      <c r="B362" s="102">
        <v>356</v>
      </c>
      <c r="C362" s="107">
        <f>65400*E2</f>
        <v>65400</v>
      </c>
      <c r="D362" s="101"/>
      <c r="E362" s="101"/>
      <c r="F362" s="101"/>
      <c r="G362" s="101"/>
      <c r="H362" s="101"/>
      <c r="I362" s="101"/>
      <c r="J362" s="101"/>
      <c r="K362" s="101"/>
    </row>
    <row r="363" spans="1:11" ht="12.75">
      <c r="A363" s="101"/>
      <c r="B363" s="102">
        <v>357</v>
      </c>
      <c r="C363" s="107">
        <f>65550*E2</f>
        <v>65550</v>
      </c>
      <c r="D363" s="101"/>
      <c r="E363" s="101"/>
      <c r="F363" s="101"/>
      <c r="G363" s="101"/>
      <c r="H363" s="101"/>
      <c r="I363" s="101"/>
      <c r="J363" s="101"/>
      <c r="K363" s="101"/>
    </row>
    <row r="364" spans="1:11" ht="12.75">
      <c r="A364" s="101"/>
      <c r="B364" s="102">
        <v>358</v>
      </c>
      <c r="C364" s="107">
        <f>65700*E2</f>
        <v>65700</v>
      </c>
      <c r="D364" s="101"/>
      <c r="E364" s="101"/>
      <c r="F364" s="101"/>
      <c r="G364" s="101"/>
      <c r="H364" s="101"/>
      <c r="I364" s="101"/>
      <c r="J364" s="101"/>
      <c r="K364" s="101"/>
    </row>
    <row r="365" spans="1:11" ht="12.75">
      <c r="A365" s="101"/>
      <c r="B365" s="102">
        <v>359</v>
      </c>
      <c r="C365" s="107">
        <f>65850*E2</f>
        <v>65850</v>
      </c>
      <c r="D365" s="101"/>
      <c r="E365" s="101"/>
      <c r="F365" s="101"/>
      <c r="G365" s="101"/>
      <c r="H365" s="101"/>
      <c r="I365" s="101"/>
      <c r="J365" s="101"/>
      <c r="K365" s="101"/>
    </row>
    <row r="366" spans="1:11" ht="12.75">
      <c r="A366" s="101"/>
      <c r="B366" s="102">
        <v>360</v>
      </c>
      <c r="C366" s="109">
        <f>66000*E2</f>
        <v>66000</v>
      </c>
      <c r="D366" s="101"/>
      <c r="E366" s="101"/>
      <c r="F366" s="101"/>
      <c r="G366" s="101"/>
      <c r="H366" s="101"/>
      <c r="I366" s="101"/>
      <c r="J366" s="101"/>
      <c r="K366" s="101"/>
    </row>
    <row r="367" spans="1:11" ht="12.75">
      <c r="A367" s="101"/>
      <c r="B367" s="102">
        <v>361</v>
      </c>
      <c r="C367" s="107">
        <f>66150*E2</f>
        <v>66150</v>
      </c>
      <c r="D367" s="101"/>
      <c r="E367" s="101"/>
      <c r="F367" s="101"/>
      <c r="G367" s="101"/>
      <c r="H367" s="101"/>
      <c r="I367" s="101"/>
      <c r="J367" s="101"/>
      <c r="K367" s="101"/>
    </row>
    <row r="368" spans="1:11" ht="12.75">
      <c r="A368" s="101"/>
      <c r="B368" s="102">
        <v>362</v>
      </c>
      <c r="C368" s="107">
        <f>66300*E2</f>
        <v>66300</v>
      </c>
      <c r="D368" s="101"/>
      <c r="E368" s="101"/>
      <c r="F368" s="101"/>
      <c r="G368" s="101"/>
      <c r="H368" s="101"/>
      <c r="I368" s="101"/>
      <c r="J368" s="101"/>
      <c r="K368" s="101"/>
    </row>
    <row r="369" spans="1:11" ht="12.75">
      <c r="A369" s="101"/>
      <c r="B369" s="102">
        <v>363</v>
      </c>
      <c r="C369" s="107">
        <f>66450*E2</f>
        <v>66450</v>
      </c>
      <c r="D369" s="101"/>
      <c r="E369" s="101"/>
      <c r="F369" s="101"/>
      <c r="G369" s="101"/>
      <c r="H369" s="101"/>
      <c r="I369" s="101"/>
      <c r="J369" s="101"/>
      <c r="K369" s="101"/>
    </row>
    <row r="370" spans="1:11" ht="12.75">
      <c r="A370" s="101"/>
      <c r="B370" s="102">
        <v>364</v>
      </c>
      <c r="C370" s="107">
        <f>66600*E2</f>
        <v>66600</v>
      </c>
      <c r="D370" s="101"/>
      <c r="E370" s="101"/>
      <c r="F370" s="101"/>
      <c r="G370" s="101"/>
      <c r="H370" s="101"/>
      <c r="I370" s="101"/>
      <c r="J370" s="101"/>
      <c r="K370" s="101"/>
    </row>
    <row r="371" spans="1:11" ht="12.75">
      <c r="A371" s="101"/>
      <c r="B371" s="102">
        <v>365</v>
      </c>
      <c r="C371" s="109">
        <f>66750*E2</f>
        <v>66750</v>
      </c>
      <c r="D371" s="101"/>
      <c r="E371" s="101"/>
      <c r="F371" s="101"/>
      <c r="G371" s="101"/>
      <c r="H371" s="101"/>
      <c r="I371" s="101"/>
      <c r="J371" s="101"/>
      <c r="K371" s="101"/>
    </row>
    <row r="372" spans="1:11" ht="12.75">
      <c r="A372" s="101"/>
      <c r="B372" s="102">
        <v>366</v>
      </c>
      <c r="C372" s="107">
        <f>66900*E2</f>
        <v>66900</v>
      </c>
      <c r="D372" s="101"/>
      <c r="E372" s="101"/>
      <c r="F372" s="101"/>
      <c r="G372" s="101"/>
      <c r="H372" s="101"/>
      <c r="I372" s="101"/>
      <c r="J372" s="101"/>
      <c r="K372" s="101"/>
    </row>
    <row r="373" spans="1:11" ht="12.75">
      <c r="A373" s="101"/>
      <c r="B373" s="102">
        <v>367</v>
      </c>
      <c r="C373" s="107">
        <f>67050*E2</f>
        <v>67050</v>
      </c>
      <c r="D373" s="101"/>
      <c r="E373" s="101"/>
      <c r="F373" s="101"/>
      <c r="G373" s="101"/>
      <c r="H373" s="101"/>
      <c r="I373" s="101"/>
      <c r="J373" s="101"/>
      <c r="K373" s="101"/>
    </row>
    <row r="374" spans="1:11" ht="12.75">
      <c r="A374" s="101"/>
      <c r="B374" s="102">
        <v>368</v>
      </c>
      <c r="C374" s="107">
        <f>67200*E2</f>
        <v>67200</v>
      </c>
      <c r="D374" s="101"/>
      <c r="E374" s="101"/>
      <c r="F374" s="101"/>
      <c r="G374" s="101"/>
      <c r="H374" s="101"/>
      <c r="I374" s="101"/>
      <c r="J374" s="101"/>
      <c r="K374" s="101"/>
    </row>
    <row r="375" spans="1:11" ht="12.75">
      <c r="A375" s="101"/>
      <c r="B375" s="102">
        <v>369</v>
      </c>
      <c r="C375" s="107">
        <f>67350*E2</f>
        <v>67350</v>
      </c>
      <c r="D375" s="101"/>
      <c r="E375" s="101"/>
      <c r="F375" s="101"/>
      <c r="G375" s="101"/>
      <c r="H375" s="101"/>
      <c r="I375" s="101"/>
      <c r="J375" s="101"/>
      <c r="K375" s="101"/>
    </row>
    <row r="376" spans="1:11" ht="12.75">
      <c r="A376" s="101"/>
      <c r="B376" s="102">
        <v>370</v>
      </c>
      <c r="C376" s="109">
        <f>67500*E2</f>
        <v>67500</v>
      </c>
      <c r="D376" s="101"/>
      <c r="E376" s="101"/>
      <c r="F376" s="101"/>
      <c r="G376" s="101"/>
      <c r="H376" s="101"/>
      <c r="I376" s="101"/>
      <c r="J376" s="101"/>
      <c r="K376" s="101"/>
    </row>
    <row r="377" spans="1:11" ht="12.75">
      <c r="A377" s="101"/>
      <c r="B377" s="102">
        <v>371</v>
      </c>
      <c r="C377" s="107">
        <f>67650*E2</f>
        <v>67650</v>
      </c>
      <c r="D377" s="101"/>
      <c r="E377" s="101"/>
      <c r="F377" s="101"/>
      <c r="G377" s="101"/>
      <c r="H377" s="101"/>
      <c r="I377" s="101"/>
      <c r="J377" s="101"/>
      <c r="K377" s="101"/>
    </row>
    <row r="378" spans="1:11" ht="12.75">
      <c r="A378" s="101"/>
      <c r="B378" s="102">
        <v>372</v>
      </c>
      <c r="C378" s="107">
        <f>37800*E2</f>
        <v>37800</v>
      </c>
      <c r="D378" s="101"/>
      <c r="E378" s="101"/>
      <c r="F378" s="101"/>
      <c r="G378" s="101"/>
      <c r="H378" s="101"/>
      <c r="I378" s="101"/>
      <c r="J378" s="101"/>
      <c r="K378" s="101"/>
    </row>
    <row r="379" spans="1:11" ht="12.75">
      <c r="A379" s="101"/>
      <c r="B379" s="102">
        <v>373</v>
      </c>
      <c r="C379" s="107">
        <f>67950*E2</f>
        <v>67950</v>
      </c>
      <c r="D379" s="101"/>
      <c r="E379" s="101"/>
      <c r="F379" s="101"/>
      <c r="G379" s="101"/>
      <c r="H379" s="101"/>
      <c r="I379" s="101"/>
      <c r="J379" s="101"/>
      <c r="K379" s="101"/>
    </row>
    <row r="380" spans="1:11" ht="12.75">
      <c r="A380" s="101"/>
      <c r="B380" s="102">
        <v>374</v>
      </c>
      <c r="C380" s="107">
        <f>68100*E2</f>
        <v>68100</v>
      </c>
      <c r="D380" s="101"/>
      <c r="E380" s="101"/>
      <c r="F380" s="101"/>
      <c r="G380" s="101"/>
      <c r="H380" s="101"/>
      <c r="I380" s="101"/>
      <c r="J380" s="101"/>
      <c r="K380" s="101"/>
    </row>
    <row r="381" spans="1:11" ht="12.75">
      <c r="A381" s="101"/>
      <c r="B381" s="102">
        <v>375</v>
      </c>
      <c r="C381" s="109">
        <f>68250*E2</f>
        <v>68250</v>
      </c>
      <c r="D381" s="101"/>
      <c r="E381" s="101"/>
      <c r="F381" s="101"/>
      <c r="G381" s="101"/>
      <c r="H381" s="101"/>
      <c r="I381" s="101"/>
      <c r="J381" s="101"/>
      <c r="K381" s="101"/>
    </row>
    <row r="382" spans="1:11" ht="12.75">
      <c r="A382" s="101"/>
      <c r="B382" s="102">
        <v>376</v>
      </c>
      <c r="C382" s="107">
        <f>68400*E2</f>
        <v>68400</v>
      </c>
      <c r="D382" s="101"/>
      <c r="E382" s="101"/>
      <c r="F382" s="101"/>
      <c r="G382" s="101"/>
      <c r="H382" s="101"/>
      <c r="I382" s="101"/>
      <c r="J382" s="101"/>
      <c r="K382" s="101"/>
    </row>
    <row r="383" spans="1:11" ht="12.75">
      <c r="A383" s="101"/>
      <c r="B383" s="102">
        <v>377</v>
      </c>
      <c r="C383" s="107">
        <f>68550*E2</f>
        <v>68550</v>
      </c>
      <c r="D383" s="101"/>
      <c r="E383" s="101"/>
      <c r="F383" s="101"/>
      <c r="G383" s="101"/>
      <c r="H383" s="101"/>
      <c r="I383" s="101"/>
      <c r="J383" s="101"/>
      <c r="K383" s="101"/>
    </row>
    <row r="384" spans="1:11" ht="12.75">
      <c r="A384" s="101"/>
      <c r="B384" s="102">
        <v>378</v>
      </c>
      <c r="C384" s="107">
        <f>68700*E2</f>
        <v>68700</v>
      </c>
      <c r="D384" s="101"/>
      <c r="E384" s="101"/>
      <c r="F384" s="101"/>
      <c r="G384" s="101"/>
      <c r="H384" s="101"/>
      <c r="I384" s="101"/>
      <c r="J384" s="101"/>
      <c r="K384" s="101"/>
    </row>
    <row r="385" spans="1:11" ht="12.75">
      <c r="A385" s="101"/>
      <c r="B385" s="102">
        <v>379</v>
      </c>
      <c r="C385" s="107">
        <f>68850*E2</f>
        <v>68850</v>
      </c>
      <c r="D385" s="101"/>
      <c r="E385" s="101"/>
      <c r="F385" s="101"/>
      <c r="G385" s="101"/>
      <c r="H385" s="101"/>
      <c r="I385" s="101"/>
      <c r="J385" s="101"/>
      <c r="K385" s="101"/>
    </row>
    <row r="386" spans="1:11" ht="12.75">
      <c r="A386" s="101"/>
      <c r="B386" s="102">
        <v>380</v>
      </c>
      <c r="C386" s="109">
        <f>69000*E2</f>
        <v>69000</v>
      </c>
      <c r="D386" s="101"/>
      <c r="E386" s="101"/>
      <c r="F386" s="101"/>
      <c r="G386" s="101"/>
      <c r="H386" s="101"/>
      <c r="I386" s="101"/>
      <c r="J386" s="101"/>
      <c r="K386" s="101"/>
    </row>
    <row r="387" spans="1:11" ht="12.75">
      <c r="A387" s="101"/>
      <c r="B387" s="102">
        <v>381</v>
      </c>
      <c r="C387" s="107">
        <f>69150*E2</f>
        <v>69150</v>
      </c>
      <c r="D387" s="101"/>
      <c r="E387" s="101"/>
      <c r="F387" s="101"/>
      <c r="G387" s="101"/>
      <c r="H387" s="101"/>
      <c r="I387" s="101"/>
      <c r="J387" s="101"/>
      <c r="K387" s="101"/>
    </row>
    <row r="388" spans="1:11" ht="12.75">
      <c r="A388" s="101"/>
      <c r="B388" s="102">
        <v>382</v>
      </c>
      <c r="C388" s="107">
        <f>69300*E2</f>
        <v>69300</v>
      </c>
      <c r="D388" s="101"/>
      <c r="E388" s="101"/>
      <c r="F388" s="101"/>
      <c r="G388" s="101"/>
      <c r="H388" s="101"/>
      <c r="I388" s="101"/>
      <c r="J388" s="101"/>
      <c r="K388" s="101"/>
    </row>
    <row r="389" spans="1:11" ht="12.75">
      <c r="A389" s="101"/>
      <c r="B389" s="102">
        <v>383</v>
      </c>
      <c r="C389" s="107">
        <f>69450*E2</f>
        <v>69450</v>
      </c>
      <c r="D389" s="101"/>
      <c r="E389" s="101"/>
      <c r="F389" s="101"/>
      <c r="G389" s="101"/>
      <c r="H389" s="101"/>
      <c r="I389" s="101"/>
      <c r="J389" s="101"/>
      <c r="K389" s="101"/>
    </row>
    <row r="390" spans="1:11" ht="12.75">
      <c r="A390" s="101"/>
      <c r="B390" s="102">
        <v>384</v>
      </c>
      <c r="C390" s="107">
        <f>69600*E2</f>
        <v>69600</v>
      </c>
      <c r="D390" s="101"/>
      <c r="E390" s="101"/>
      <c r="F390" s="101"/>
      <c r="G390" s="101"/>
      <c r="H390" s="101"/>
      <c r="I390" s="101"/>
      <c r="J390" s="101"/>
      <c r="K390" s="101"/>
    </row>
    <row r="391" spans="1:11" ht="12.75">
      <c r="A391" s="101"/>
      <c r="B391" s="102">
        <v>385</v>
      </c>
      <c r="C391" s="109">
        <f>69750*E2</f>
        <v>69750</v>
      </c>
      <c r="D391" s="101"/>
      <c r="E391" s="101"/>
      <c r="F391" s="101"/>
      <c r="G391" s="101"/>
      <c r="H391" s="101"/>
      <c r="I391" s="101"/>
      <c r="J391" s="101"/>
      <c r="K391" s="101"/>
    </row>
    <row r="392" spans="1:11" ht="12.75">
      <c r="A392" s="101"/>
      <c r="B392" s="102">
        <v>386</v>
      </c>
      <c r="C392" s="107">
        <f>69900*E2</f>
        <v>69900</v>
      </c>
      <c r="D392" s="101"/>
      <c r="E392" s="101"/>
      <c r="F392" s="101"/>
      <c r="G392" s="101"/>
      <c r="H392" s="101"/>
      <c r="I392" s="101"/>
      <c r="J392" s="101"/>
      <c r="K392" s="101"/>
    </row>
    <row r="393" spans="1:11" ht="12.75">
      <c r="A393" s="101"/>
      <c r="B393" s="102">
        <v>387</v>
      </c>
      <c r="C393" s="107">
        <f>70050*E2</f>
        <v>70050</v>
      </c>
      <c r="D393" s="101"/>
      <c r="E393" s="101"/>
      <c r="F393" s="101"/>
      <c r="G393" s="101"/>
      <c r="H393" s="101"/>
      <c r="I393" s="101"/>
      <c r="J393" s="101"/>
      <c r="K393" s="101"/>
    </row>
    <row r="394" spans="1:11" ht="12.75">
      <c r="A394" s="101"/>
      <c r="B394" s="102">
        <v>388</v>
      </c>
      <c r="C394" s="107">
        <f>70200*E2</f>
        <v>70200</v>
      </c>
      <c r="D394" s="101"/>
      <c r="E394" s="101"/>
      <c r="F394" s="101"/>
      <c r="G394" s="101"/>
      <c r="H394" s="101"/>
      <c r="I394" s="101"/>
      <c r="J394" s="101"/>
      <c r="K394" s="101"/>
    </row>
    <row r="395" spans="1:11" ht="12.75">
      <c r="A395" s="101"/>
      <c r="B395" s="102">
        <v>389</v>
      </c>
      <c r="C395" s="107">
        <f>70350*E2</f>
        <v>70350</v>
      </c>
      <c r="D395" s="101"/>
      <c r="E395" s="101"/>
      <c r="F395" s="101"/>
      <c r="G395" s="101"/>
      <c r="H395" s="101"/>
      <c r="I395" s="101"/>
      <c r="J395" s="101"/>
      <c r="K395" s="101"/>
    </row>
    <row r="396" spans="1:11" ht="12.75">
      <c r="A396" s="101"/>
      <c r="B396" s="102">
        <v>390</v>
      </c>
      <c r="C396" s="109">
        <f>70500*E2</f>
        <v>70500</v>
      </c>
      <c r="D396" s="101"/>
      <c r="E396" s="101"/>
      <c r="F396" s="101"/>
      <c r="G396" s="101"/>
      <c r="H396" s="101"/>
      <c r="I396" s="101"/>
      <c r="J396" s="101"/>
      <c r="K396" s="101"/>
    </row>
    <row r="397" spans="1:11" ht="12.75">
      <c r="A397" s="101"/>
      <c r="B397" s="102">
        <v>391</v>
      </c>
      <c r="C397" s="107">
        <f>70650*E2</f>
        <v>70650</v>
      </c>
      <c r="D397" s="101"/>
      <c r="E397" s="101"/>
      <c r="F397" s="101"/>
      <c r="G397" s="101"/>
      <c r="H397" s="101"/>
      <c r="I397" s="101"/>
      <c r="J397" s="101"/>
      <c r="K397" s="101"/>
    </row>
    <row r="398" spans="1:11" ht="12.75">
      <c r="A398" s="101"/>
      <c r="B398" s="102">
        <v>392</v>
      </c>
      <c r="C398" s="107">
        <f>70800*E2</f>
        <v>70800</v>
      </c>
      <c r="D398" s="101"/>
      <c r="E398" s="101"/>
      <c r="F398" s="101"/>
      <c r="G398" s="101"/>
      <c r="H398" s="101"/>
      <c r="I398" s="101"/>
      <c r="J398" s="101"/>
      <c r="K398" s="101"/>
    </row>
    <row r="399" spans="1:11" ht="12.75">
      <c r="A399" s="101"/>
      <c r="B399" s="102">
        <v>393</v>
      </c>
      <c r="C399" s="107">
        <f>70950*E2</f>
        <v>70950</v>
      </c>
      <c r="D399" s="101"/>
      <c r="E399" s="101"/>
      <c r="F399" s="101"/>
      <c r="G399" s="101"/>
      <c r="H399" s="101"/>
      <c r="I399" s="101"/>
      <c r="J399" s="101"/>
      <c r="K399" s="101"/>
    </row>
    <row r="400" spans="1:11" ht="12.75">
      <c r="A400" s="101"/>
      <c r="B400" s="102">
        <v>394</v>
      </c>
      <c r="C400" s="107">
        <f>71100*E2</f>
        <v>71100</v>
      </c>
      <c r="D400" s="101"/>
      <c r="E400" s="101"/>
      <c r="F400" s="101"/>
      <c r="G400" s="101"/>
      <c r="H400" s="101"/>
      <c r="I400" s="101"/>
      <c r="J400" s="101"/>
      <c r="K400" s="101"/>
    </row>
    <row r="401" spans="1:11" ht="12.75">
      <c r="A401" s="101"/>
      <c r="B401" s="102">
        <v>395</v>
      </c>
      <c r="C401" s="109">
        <f>71250*E2</f>
        <v>71250</v>
      </c>
      <c r="D401" s="101"/>
      <c r="E401" s="101"/>
      <c r="F401" s="101"/>
      <c r="G401" s="101"/>
      <c r="H401" s="101"/>
      <c r="I401" s="101"/>
      <c r="J401" s="101"/>
      <c r="K401" s="101"/>
    </row>
    <row r="402" spans="1:11" ht="12.75">
      <c r="A402" s="101"/>
      <c r="B402" s="102">
        <v>396</v>
      </c>
      <c r="C402" s="107">
        <f>71400*E2</f>
        <v>71400</v>
      </c>
      <c r="D402" s="101"/>
      <c r="E402" s="101"/>
      <c r="F402" s="101"/>
      <c r="G402" s="101"/>
      <c r="H402" s="101"/>
      <c r="I402" s="101"/>
      <c r="J402" s="101"/>
      <c r="K402" s="101"/>
    </row>
    <row r="403" spans="1:11" ht="12.75">
      <c r="A403" s="101"/>
      <c r="B403" s="102">
        <v>397</v>
      </c>
      <c r="C403" s="107">
        <f>71550*E2</f>
        <v>71550</v>
      </c>
      <c r="D403" s="101"/>
      <c r="E403" s="101"/>
      <c r="F403" s="101"/>
      <c r="G403" s="101"/>
      <c r="H403" s="101"/>
      <c r="I403" s="101"/>
      <c r="J403" s="101"/>
      <c r="K403" s="101"/>
    </row>
    <row r="404" spans="1:11" ht="12.75">
      <c r="A404" s="101"/>
      <c r="B404" s="102">
        <v>398</v>
      </c>
      <c r="C404" s="107">
        <f>71700*E2</f>
        <v>71700</v>
      </c>
      <c r="D404" s="101"/>
      <c r="E404" s="101"/>
      <c r="F404" s="101"/>
      <c r="G404" s="101"/>
      <c r="H404" s="101"/>
      <c r="I404" s="101"/>
      <c r="J404" s="101"/>
      <c r="K404" s="101"/>
    </row>
    <row r="405" spans="1:11" ht="12.75">
      <c r="A405" s="101"/>
      <c r="B405" s="102">
        <v>399</v>
      </c>
      <c r="C405" s="107">
        <f>71850*E2</f>
        <v>71850</v>
      </c>
      <c r="D405" s="101"/>
      <c r="E405" s="101"/>
      <c r="F405" s="101"/>
      <c r="G405" s="101"/>
      <c r="H405" s="101"/>
      <c r="I405" s="101"/>
      <c r="J405" s="101"/>
      <c r="K405" s="101"/>
    </row>
    <row r="406" spans="1:11" ht="12.75">
      <c r="A406" s="101"/>
      <c r="B406" s="102">
        <v>400</v>
      </c>
      <c r="C406" s="109">
        <f>72000*E2</f>
        <v>72000</v>
      </c>
      <c r="D406" s="101"/>
      <c r="E406" s="101"/>
      <c r="F406" s="101"/>
      <c r="G406" s="101"/>
      <c r="H406" s="101"/>
      <c r="I406" s="101"/>
      <c r="J406" s="101"/>
      <c r="K406" s="101"/>
    </row>
    <row r="407" spans="1:11" ht="12.7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</row>
    <row r="408" spans="1:11" ht="12.7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</row>
    <row r="409" spans="1:11" ht="12.7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</row>
  </sheetData>
  <sheetProtection sheet="1" selectLockedCells="1" selectUn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2:J91"/>
  <sheetViews>
    <sheetView showGridLines="0" tabSelected="1" zoomScale="96" zoomScaleNormal="96" zoomScalePageLayoutView="0" workbookViewId="0" topLeftCell="A1">
      <selection activeCell="C2" sqref="C2"/>
    </sheetView>
  </sheetViews>
  <sheetFormatPr defaultColWidth="11.421875" defaultRowHeight="19.5" customHeight="1"/>
  <cols>
    <col min="1" max="1" width="3.7109375" style="2" customWidth="1"/>
    <col min="2" max="2" width="19.7109375" style="2" customWidth="1"/>
    <col min="3" max="3" width="22.00390625" style="2" customWidth="1"/>
    <col min="4" max="4" width="21.57421875" style="2" customWidth="1"/>
    <col min="5" max="5" width="29.00390625" style="2" customWidth="1"/>
    <col min="6" max="6" width="19.7109375" style="2" customWidth="1"/>
    <col min="7" max="7" width="22.140625" style="2" customWidth="1"/>
    <col min="8" max="9" width="12.7109375" style="118" customWidth="1"/>
    <col min="10" max="10" width="9.140625" style="118" customWidth="1"/>
    <col min="11" max="25" width="9.140625" style="80" customWidth="1"/>
    <col min="26" max="16384" width="9.140625" style="2" customWidth="1"/>
  </cols>
  <sheetData>
    <row r="1" ht="13.5" customHeight="1"/>
    <row r="2" spans="2:7" ht="13.5" customHeight="1">
      <c r="B2" s="119" t="s">
        <v>302</v>
      </c>
      <c r="C2" s="120"/>
      <c r="E2" s="119" t="s">
        <v>303</v>
      </c>
      <c r="F2" s="182"/>
      <c r="G2" s="182"/>
    </row>
    <row r="3" ht="13.5" customHeight="1">
      <c r="B3" s="119"/>
    </row>
    <row r="4" spans="2:6" ht="13.5" customHeight="1">
      <c r="B4" s="119" t="s">
        <v>304</v>
      </c>
      <c r="C4" s="121"/>
      <c r="E4" s="119" t="s">
        <v>305</v>
      </c>
      <c r="F4" s="121"/>
    </row>
    <row r="5" ht="13.5" customHeight="1"/>
    <row r="6" spans="2:7" ht="19.5" customHeight="1">
      <c r="B6" s="183" t="s">
        <v>306</v>
      </c>
      <c r="C6" s="183"/>
      <c r="D6" s="183"/>
      <c r="E6" s="183"/>
      <c r="F6" s="183"/>
      <c r="G6" s="183"/>
    </row>
    <row r="7" spans="2:7" ht="19.5" customHeight="1">
      <c r="B7" s="122"/>
      <c r="C7" s="18"/>
      <c r="D7" s="18"/>
      <c r="E7" s="18"/>
      <c r="F7" s="123" t="str">
        <f>x!F2</f>
        <v>Vigente desde el 01/04/2024</v>
      </c>
      <c r="G7" s="18"/>
    </row>
    <row r="8" spans="2:7" ht="19.5" customHeight="1">
      <c r="B8" s="122"/>
      <c r="C8" s="18"/>
      <c r="D8" s="184" t="s">
        <v>307</v>
      </c>
      <c r="E8" s="184"/>
      <c r="F8" s="18"/>
      <c r="G8" s="18"/>
    </row>
    <row r="9" ht="13.5" customHeight="1"/>
    <row r="10" spans="3:4" ht="13.5" customHeight="1">
      <c r="C10" s="124" t="s">
        <v>308</v>
      </c>
      <c r="D10" s="125">
        <f>+x!C8</f>
        <v>25</v>
      </c>
    </row>
    <row r="11" ht="13.5" customHeight="1">
      <c r="B11" s="73"/>
    </row>
    <row r="12" spans="2:5" ht="13.5" customHeight="1">
      <c r="B12" s="175" t="s">
        <v>140</v>
      </c>
      <c r="C12" s="175"/>
      <c r="D12" s="185">
        <f>IF('PD 1'!D23=1,"Cat. 1º",IF('PD 1'!D23=4,"Cat. 4º",IF('PD 1'!D23=6,"Cat. 6º",IF('PD 1'!D23=7,"Cat. 7º",""))))</f>
      </c>
      <c r="E12" s="185"/>
    </row>
    <row r="13" spans="2:5" ht="13.5" customHeight="1">
      <c r="B13" s="126" t="s">
        <v>146</v>
      </c>
      <c r="C13" s="127" t="s">
        <v>147</v>
      </c>
      <c r="D13" s="126" t="s">
        <v>148</v>
      </c>
      <c r="E13" s="127" t="s">
        <v>147</v>
      </c>
    </row>
    <row r="14" spans="2:5" ht="13.5" customHeight="1">
      <c r="B14" s="128">
        <f>1000000*D10</f>
        <v>25000000</v>
      </c>
      <c r="C14" s="129">
        <f>+B14</f>
        <v>25000000</v>
      </c>
      <c r="D14" s="130">
        <f>IF('PD 1'!$D$23=1,0.04,IF('PD 1'!$D$23=4,0.065,IF('PD 1'!$D$23=6,0.075,IF('PD 1'!$D$23=7,0.08,0))))</f>
        <v>0</v>
      </c>
      <c r="E14" s="129">
        <f>+$C$14*D14</f>
        <v>0</v>
      </c>
    </row>
    <row r="15" spans="2:5" ht="13.5" customHeight="1">
      <c r="B15" s="131">
        <f>4000000*D10</f>
        <v>100000000</v>
      </c>
      <c r="C15" s="132">
        <f>+C14+B15</f>
        <v>125000000</v>
      </c>
      <c r="D15" s="133">
        <f>IF($D$23&gt;0,+D14-0.5%,0)</f>
        <v>0</v>
      </c>
      <c r="E15" s="132">
        <f>+B15*D15+E14</f>
        <v>0</v>
      </c>
    </row>
    <row r="16" spans="2:5" ht="13.5" customHeight="1">
      <c r="B16" s="131">
        <f>5000000*D10</f>
        <v>125000000</v>
      </c>
      <c r="C16" s="132">
        <f>+C15+B16</f>
        <v>250000000</v>
      </c>
      <c r="D16" s="133">
        <f>IF($D$23&gt;0,+D15-0.5%,0)</f>
        <v>0</v>
      </c>
      <c r="E16" s="132">
        <f>+B16*D16+E15</f>
        <v>0</v>
      </c>
    </row>
    <row r="17" spans="2:5" ht="13.5" customHeight="1">
      <c r="B17" s="131">
        <f>20000000*D10</f>
        <v>500000000</v>
      </c>
      <c r="C17" s="132">
        <f>+C16+B17</f>
        <v>750000000</v>
      </c>
      <c r="D17" s="133">
        <f>IF($D$23&gt;0,+D16-0.5%,0)</f>
        <v>0</v>
      </c>
      <c r="E17" s="132">
        <f>+B17*D17+E16</f>
        <v>0</v>
      </c>
    </row>
    <row r="18" spans="2:5" ht="13.5" customHeight="1">
      <c r="B18" s="131">
        <f>70000000*D10</f>
        <v>1750000000</v>
      </c>
      <c r="C18" s="132">
        <f>+C17+B18</f>
        <v>2500000000</v>
      </c>
      <c r="D18" s="133">
        <f>IF($D$23&gt;0,+D17-0.5%,0)</f>
        <v>0</v>
      </c>
      <c r="E18" s="132">
        <f>+B18*D18+E17</f>
        <v>0</v>
      </c>
    </row>
    <row r="19" spans="2:5" ht="13.5" customHeight="1">
      <c r="B19" s="12"/>
      <c r="C19" s="13" t="s">
        <v>149</v>
      </c>
      <c r="D19" s="134">
        <f>IF($D$23&gt;0,+D18-0.5%,0)</f>
        <v>0</v>
      </c>
      <c r="E19" s="15"/>
    </row>
    <row r="20" spans="2:5" ht="12.75" customHeight="1">
      <c r="B20" s="47"/>
      <c r="C20" s="19"/>
      <c r="D20" s="21"/>
      <c r="E20" s="18"/>
    </row>
    <row r="21" spans="2:7" ht="12.75" customHeight="1">
      <c r="B21" s="186" t="s">
        <v>309</v>
      </c>
      <c r="C21" s="186"/>
      <c r="D21" s="186"/>
      <c r="E21" s="186"/>
      <c r="F21" s="186"/>
      <c r="G21" s="186"/>
    </row>
    <row r="22" ht="13.5" customHeight="1">
      <c r="H22" s="135"/>
    </row>
    <row r="23" spans="2:9" ht="13.5" customHeight="1">
      <c r="B23" s="187" t="s">
        <v>310</v>
      </c>
      <c r="C23" s="187"/>
      <c r="D23" s="136"/>
      <c r="E23" s="137">
        <f>IF(D23=1,"",IF(D23=4,"",IF(D23=6,"",IF(D23=7,"",IF(D23=8,"",IF(D23=0,"","Usar PyD.2"))))))</f>
      </c>
      <c r="F23" s="80" t="s">
        <v>311</v>
      </c>
      <c r="G23" s="138"/>
      <c r="I23" s="139">
        <v>1</v>
      </c>
    </row>
    <row r="24" spans="6:9" ht="13.5" customHeight="1">
      <c r="F24" s="80" t="s">
        <v>312</v>
      </c>
      <c r="G24" s="138"/>
      <c r="H24" s="118">
        <v>1</v>
      </c>
      <c r="I24" s="139">
        <v>4</v>
      </c>
    </row>
    <row r="25" spans="2:9" ht="13.5" customHeight="1">
      <c r="B25" s="188" t="s">
        <v>313</v>
      </c>
      <c r="C25" s="188"/>
      <c r="D25" s="74" t="s">
        <v>314</v>
      </c>
      <c r="F25" s="80" t="s">
        <v>315</v>
      </c>
      <c r="G25" s="138"/>
      <c r="I25" s="139">
        <v>6</v>
      </c>
    </row>
    <row r="26" spans="8:9" ht="13.5" customHeight="1">
      <c r="H26" s="118">
        <f>MAX(G23:G25)</f>
        <v>0</v>
      </c>
      <c r="I26" s="139">
        <v>7</v>
      </c>
    </row>
    <row r="27" spans="2:7" ht="13.5" customHeight="1">
      <c r="B27" s="189" t="s">
        <v>316</v>
      </c>
      <c r="C27" s="189"/>
      <c r="D27" s="136"/>
      <c r="G27" s="18"/>
    </row>
    <row r="28" spans="2:7" ht="13.5" customHeight="1">
      <c r="B28" s="189" t="s">
        <v>317</v>
      </c>
      <c r="C28" s="189"/>
      <c r="D28" s="136"/>
      <c r="G28" s="18"/>
    </row>
    <row r="29" spans="2:7" ht="13.5" customHeight="1">
      <c r="B29" s="141"/>
      <c r="C29" s="142" t="s">
        <v>318</v>
      </c>
      <c r="D29" s="136"/>
      <c r="G29" s="18"/>
    </row>
    <row r="30" spans="2:7" ht="13.5" customHeight="1">
      <c r="B30" s="189" t="s">
        <v>319</v>
      </c>
      <c r="C30" s="189"/>
      <c r="D30" s="136"/>
      <c r="G30" s="18"/>
    </row>
    <row r="31" spans="2:7" ht="13.5" customHeight="1">
      <c r="B31" s="189" t="s">
        <v>320</v>
      </c>
      <c r="C31" s="189"/>
      <c r="D31" s="136"/>
      <c r="E31" s="2" t="s">
        <v>321</v>
      </c>
      <c r="G31" s="18"/>
    </row>
    <row r="32" spans="2:7" ht="13.5" customHeight="1">
      <c r="B32" s="189" t="s">
        <v>322</v>
      </c>
      <c r="C32" s="189"/>
      <c r="D32" s="136"/>
      <c r="E32" s="2" t="s">
        <v>323</v>
      </c>
      <c r="G32" s="18"/>
    </row>
    <row r="33" spans="2:5" ht="13.5" customHeight="1">
      <c r="B33" s="189" t="s">
        <v>324</v>
      </c>
      <c r="C33" s="189"/>
      <c r="D33" s="136"/>
      <c r="E33" s="2" t="s">
        <v>325</v>
      </c>
    </row>
    <row r="34" spans="2:4" ht="13.5" customHeight="1">
      <c r="B34" s="189" t="s">
        <v>326</v>
      </c>
      <c r="C34" s="189"/>
      <c r="D34" s="136"/>
    </row>
    <row r="35" spans="2:9" ht="13.5" customHeight="1">
      <c r="B35" s="188" t="s">
        <v>327</v>
      </c>
      <c r="C35" s="188"/>
      <c r="D35" s="21"/>
      <c r="E35" s="18"/>
      <c r="H35" s="139"/>
      <c r="I35" s="139"/>
    </row>
    <row r="36" spans="2:9" ht="13.5" customHeight="1">
      <c r="B36" s="140"/>
      <c r="C36" s="140"/>
      <c r="D36" s="21"/>
      <c r="E36" s="18"/>
      <c r="H36" s="139"/>
      <c r="I36" s="139"/>
    </row>
    <row r="37" spans="2:4" ht="13.5" customHeight="1">
      <c r="B37" s="190" t="s">
        <v>328</v>
      </c>
      <c r="C37" s="190"/>
      <c r="D37" s="143"/>
    </row>
    <row r="38" ht="13.5" customHeight="1">
      <c r="D38" s="2" t="s">
        <v>329</v>
      </c>
    </row>
    <row r="39" spans="2:5" ht="13.5" customHeight="1">
      <c r="B39" s="191" t="s">
        <v>330</v>
      </c>
      <c r="C39" s="191"/>
      <c r="D39" s="191"/>
      <c r="E39" s="191"/>
    </row>
    <row r="40" spans="2:5" ht="7.5" customHeight="1">
      <c r="B40" s="144"/>
      <c r="C40" s="144"/>
      <c r="D40" s="144"/>
      <c r="E40" s="144"/>
    </row>
    <row r="41" spans="4:7" ht="13.5" customHeight="1">
      <c r="D41" s="145"/>
      <c r="E41" s="146" t="s">
        <v>331</v>
      </c>
      <c r="F41" s="145"/>
      <c r="G41" s="147">
        <f>+F41*D41</f>
        <v>0</v>
      </c>
    </row>
    <row r="42" spans="4:7" ht="13.5" customHeight="1">
      <c r="D42" s="145"/>
      <c r="E42" s="146" t="s">
        <v>331</v>
      </c>
      <c r="F42" s="145"/>
      <c r="G42" s="148">
        <f>+F42*D42</f>
        <v>0</v>
      </c>
    </row>
    <row r="43" spans="4:7" ht="13.5" customHeight="1">
      <c r="D43" s="145"/>
      <c r="E43" s="146" t="s">
        <v>331</v>
      </c>
      <c r="F43" s="145"/>
      <c r="G43" s="148">
        <f>+F43*D43</f>
        <v>0</v>
      </c>
    </row>
    <row r="44" spans="2:3" ht="13.5" customHeight="1">
      <c r="B44" s="82"/>
      <c r="C44" s="149"/>
    </row>
    <row r="45" spans="3:7" ht="13.5" customHeight="1">
      <c r="C45" s="150"/>
      <c r="D45" s="187" t="s">
        <v>332</v>
      </c>
      <c r="E45" s="187"/>
      <c r="F45" s="187"/>
      <c r="G45" s="151">
        <f>SUM(G41:G43)</f>
        <v>0</v>
      </c>
    </row>
    <row r="46" ht="13.5" customHeight="1"/>
    <row r="47" spans="2:5" ht="13.5" customHeight="1">
      <c r="B47" s="192" t="s">
        <v>333</v>
      </c>
      <c r="C47" s="192"/>
      <c r="D47" s="193">
        <f>D37+G45</f>
        <v>0</v>
      </c>
      <c r="E47" s="193"/>
    </row>
    <row r="48" ht="13.5" customHeight="1"/>
    <row r="49" spans="2:5" ht="13.5" customHeight="1">
      <c r="B49" s="194" t="s">
        <v>334</v>
      </c>
      <c r="C49" s="194"/>
      <c r="D49" s="194"/>
      <c r="E49" s="194"/>
    </row>
    <row r="50" spans="2:9" ht="13.5" customHeight="1">
      <c r="B50" s="2" t="s">
        <v>227</v>
      </c>
      <c r="C50" s="152">
        <f>IF(D47&gt;='PD 1'!C18,'PD 1'!C18,IF(D47&gt;='PD 1'!C17,'PD 1'!C17,IF(D47&gt;='PD 1'!C16,'PD 1'!C16,IF(D47&gt;='PD 1'!C15,'PD 1'!C15,IF(D47&gt;='PD 1'!C14,'PD 1'!C14,IF(D47&lt;'PD 1'!C14,D47))))))</f>
        <v>0</v>
      </c>
      <c r="D50" s="20">
        <f>IF(D47&lt;=0,0,IF(D47&lt;'PD 1'!C14,'PD 1'!D14,""))</f>
        <v>0</v>
      </c>
      <c r="E50" s="152">
        <f>IF(C50='PD 1'!C18,'PD 1'!E18,IF(C50='PD 1'!C17,'PD 1'!E17,IF(C50='PD 1'!C16,'PD 1'!E16,IF(C50='PD 1'!C15,'PD 1'!E15,IF(C50='PD 1'!C14,'PD 1'!E14,IF(C50&lt;'PD 1'!C14,+C50*D50))))))</f>
        <v>0</v>
      </c>
      <c r="H50" s="153"/>
      <c r="I50" s="153"/>
    </row>
    <row r="51" spans="2:9" ht="13.5" customHeight="1">
      <c r="B51" s="2" t="s">
        <v>335</v>
      </c>
      <c r="C51" s="152">
        <f>+D47-C50</f>
        <v>0</v>
      </c>
      <c r="D51" s="20">
        <f>IF(C50='PD 1'!C18,'PD 1'!D19,IF(C50='PD 1'!C17,'PD 1'!D18,IF(C50='PD 1'!C16,'PD 1'!D17,IF(C50='PD 1'!C15,'PD 1'!D16,IF(C50='PD 1'!C14,'PD 1'!D15,0)))))</f>
        <v>0</v>
      </c>
      <c r="E51" s="152">
        <f>+C51*D51</f>
        <v>0</v>
      </c>
      <c r="H51" s="153"/>
      <c r="I51" s="153"/>
    </row>
    <row r="52" spans="2:9" ht="13.5" customHeight="1">
      <c r="B52" s="195" t="s">
        <v>336</v>
      </c>
      <c r="C52" s="195"/>
      <c r="D52" s="195"/>
      <c r="E52" s="154">
        <f>+E51+E50</f>
        <v>0</v>
      </c>
      <c r="H52" s="155"/>
      <c r="I52" s="155"/>
    </row>
    <row r="53" spans="8:9" ht="13.5" customHeight="1">
      <c r="H53" s="156"/>
      <c r="I53" s="156"/>
    </row>
    <row r="54" spans="2:5" ht="13.5" customHeight="1">
      <c r="B54" s="194" t="s">
        <v>337</v>
      </c>
      <c r="C54" s="194"/>
      <c r="D54" s="194"/>
      <c r="E54" s="194"/>
    </row>
    <row r="55" spans="4:7" ht="13.5" customHeight="1">
      <c r="D55" s="74"/>
      <c r="E55" s="76"/>
      <c r="G55" s="2" t="s">
        <v>338</v>
      </c>
    </row>
    <row r="56" spans="2:5" ht="15" customHeight="1">
      <c r="B56" s="2">
        <f>IF($D$33=1,+"Interpretación de Proyecto (50 % de D.T.)","")</f>
      </c>
      <c r="D56" s="74"/>
      <c r="E56" s="76">
        <f>IF($D$33=1,+E52*0.4*0.5,0)</f>
        <v>0</v>
      </c>
    </row>
    <row r="57" spans="2:7" ht="13.5" customHeight="1">
      <c r="B57" s="2">
        <f>IF($D$27=1,+"Proyecto (60 % de I)","")</f>
      </c>
      <c r="D57" s="74"/>
      <c r="E57" s="76">
        <f>IF($D$27=1,+E52*0.6,0)</f>
        <v>0</v>
      </c>
      <c r="G57" s="157"/>
    </row>
    <row r="58" spans="2:7" ht="13.5" customHeight="1">
      <c r="B58" s="2">
        <f>IF($D$29=1,+"Dirección Técnica (40 % de I)","")</f>
      </c>
      <c r="D58" s="74"/>
      <c r="E58" s="76">
        <f>IF($D$29=1,+E52*0.4,0)</f>
        <v>0</v>
      </c>
      <c r="G58" s="158"/>
    </row>
    <row r="59" spans="2:7" ht="13.5" customHeight="1">
      <c r="B59" s="2">
        <f>IF($D$30=1,+"Plano de Detalle (20 % de I)","")</f>
      </c>
      <c r="D59" s="74"/>
      <c r="E59" s="76">
        <f>IF($D$30=1,+E52*0.2,0)</f>
        <v>0</v>
      </c>
      <c r="G59" s="158"/>
    </row>
    <row r="60" spans="2:7" ht="13.5" customHeight="1">
      <c r="B60" s="2">
        <f>IF($D$28=1,"Proyecto Ejecutivo (45 % de I)","")</f>
      </c>
      <c r="D60" s="74"/>
      <c r="E60" s="152">
        <f>IF($D$28=1,+E52*0.45,0)</f>
        <v>0</v>
      </c>
      <c r="G60" s="158"/>
    </row>
    <row r="61" spans="2:7" ht="13.5" customHeight="1">
      <c r="B61" s="2">
        <f>IF($D$31=1,"Dirección Ejecutiva (100 % de D.T.)",IF($D$32=1,+"Dirección Ejecutiva (200 % de D.T.)",""))</f>
      </c>
      <c r="D61" s="74"/>
      <c r="E61" s="152">
        <f>IF($D$31=1,+E52*0.4,IF($D$32=1,+E52*0.4*2,0))</f>
        <v>0</v>
      </c>
      <c r="G61" s="158"/>
    </row>
    <row r="62" spans="2:7" ht="13.5" customHeight="1">
      <c r="B62" s="2">
        <f>IF($D$34=1,"Inspección de Obra (15 % de I)","")</f>
      </c>
      <c r="E62" s="152">
        <f>IF($D$34=1,+E52*0.15,0)</f>
        <v>0</v>
      </c>
      <c r="G62" s="158"/>
    </row>
    <row r="63" ht="19.5" customHeight="1">
      <c r="G63" s="158"/>
    </row>
    <row r="64" spans="2:7" ht="13.5" customHeight="1">
      <c r="B64" s="196" t="s">
        <v>339</v>
      </c>
      <c r="C64" s="196"/>
      <c r="D64" s="196"/>
      <c r="E64" s="159">
        <f>IF(SUM(E56:E62)&gt;0,IF(SUM(E56:E62)&lt;x!C6,x!C6,IF(SUM(E56:E62)&gt;x!C6,SUM(E56:E62))),0)</f>
        <v>0</v>
      </c>
      <c r="G64" s="158"/>
    </row>
    <row r="65" spans="4:7" ht="20.25" customHeight="1">
      <c r="D65" s="74"/>
      <c r="G65" s="158"/>
    </row>
    <row r="66" spans="2:7" ht="15" customHeight="1">
      <c r="B66" s="196" t="s">
        <v>340</v>
      </c>
      <c r="C66" s="196"/>
      <c r="D66" s="196"/>
      <c r="E66" s="160"/>
      <c r="G66" s="161"/>
    </row>
    <row r="67" spans="2:4" ht="13.5" customHeight="1">
      <c r="B67" s="197" t="s">
        <v>341</v>
      </c>
      <c r="C67" s="197"/>
      <c r="D67" s="197"/>
    </row>
    <row r="68" spans="2:4" ht="13.5" customHeight="1">
      <c r="B68" s="197"/>
      <c r="C68" s="197"/>
      <c r="D68" s="197"/>
    </row>
    <row r="69" ht="13.5" customHeight="1">
      <c r="E69" s="162"/>
    </row>
    <row r="70" ht="13.5" customHeight="1"/>
    <row r="71" spans="2:7" ht="13.5" customHeight="1">
      <c r="B71" s="198">
        <f>IF(E66&lt;E64,J72,"")</f>
      </c>
      <c r="C71" s="198"/>
      <c r="D71" s="198"/>
      <c r="E71" s="198"/>
      <c r="F71" s="199"/>
      <c r="G71" s="199"/>
    </row>
    <row r="72" spans="2:10" ht="13.5" customHeight="1">
      <c r="B72" s="198"/>
      <c r="C72" s="198"/>
      <c r="D72" s="198"/>
      <c r="E72" s="198"/>
      <c r="F72" s="199"/>
      <c r="G72" s="199"/>
      <c r="J72" s="163" t="s">
        <v>342</v>
      </c>
    </row>
    <row r="73" spans="2:7" ht="13.5" customHeight="1">
      <c r="B73" s="198"/>
      <c r="C73" s="198"/>
      <c r="D73" s="198"/>
      <c r="E73" s="198"/>
      <c r="F73" s="199"/>
      <c r="G73" s="199"/>
    </row>
    <row r="74" spans="6:7" ht="13.5" customHeight="1">
      <c r="F74" s="199"/>
      <c r="G74" s="199"/>
    </row>
    <row r="75" spans="6:7" ht="13.5" customHeight="1">
      <c r="F75" s="199"/>
      <c r="G75" s="199"/>
    </row>
    <row r="76" spans="6:7" ht="13.5" customHeight="1">
      <c r="F76" s="199"/>
      <c r="G76" s="199"/>
    </row>
    <row r="77" spans="6:7" ht="13.5" customHeight="1">
      <c r="F77" s="199"/>
      <c r="G77" s="199"/>
    </row>
    <row r="78" spans="6:7" ht="13.5" customHeight="1">
      <c r="F78" s="79"/>
      <c r="G78" s="79"/>
    </row>
    <row r="79" spans="6:7" ht="13.5" customHeight="1">
      <c r="F79" s="200" t="s">
        <v>343</v>
      </c>
      <c r="G79" s="200"/>
    </row>
    <row r="80" ht="13.5" customHeight="1"/>
    <row r="81" spans="4:5" ht="13.5" customHeight="1">
      <c r="D81" s="82"/>
      <c r="E81" s="82"/>
    </row>
    <row r="82" spans="2:7" ht="13.5" customHeight="1">
      <c r="B82" s="77"/>
      <c r="C82" s="77"/>
      <c r="D82" s="77"/>
      <c r="E82" s="77"/>
      <c r="F82" s="77"/>
      <c r="G82" s="77"/>
    </row>
    <row r="83" ht="13.5" customHeight="1"/>
    <row r="84" ht="13.5" customHeight="1"/>
    <row r="85" spans="2:4" ht="13.5" customHeight="1">
      <c r="B85" s="101" t="s">
        <v>344</v>
      </c>
      <c r="C85" s="101"/>
      <c r="D85" s="101"/>
    </row>
    <row r="86" spans="2:4" ht="13.5" customHeight="1">
      <c r="B86" s="110" t="s">
        <v>345</v>
      </c>
      <c r="C86" s="101"/>
      <c r="D86" s="101"/>
    </row>
    <row r="87" spans="2:3" ht="13.5" customHeight="1">
      <c r="B87" s="101"/>
      <c r="C87" s="101" t="s">
        <v>346</v>
      </c>
    </row>
    <row r="88" spans="2:4" ht="13.5" customHeight="1">
      <c r="B88" s="110" t="s">
        <v>347</v>
      </c>
      <c r="C88" s="101"/>
      <c r="D88" s="101"/>
    </row>
    <row r="89" spans="2:3" ht="13.5" customHeight="1">
      <c r="B89" s="101"/>
      <c r="C89" s="101" t="s">
        <v>348</v>
      </c>
    </row>
    <row r="90" spans="2:3" ht="13.5" customHeight="1">
      <c r="B90" s="110" t="s">
        <v>349</v>
      </c>
      <c r="C90" s="101" t="s">
        <v>350</v>
      </c>
    </row>
    <row r="91" spans="2:3" ht="13.5" customHeight="1">
      <c r="B91" s="110" t="s">
        <v>351</v>
      </c>
      <c r="C91" s="101" t="s">
        <v>352</v>
      </c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</sheetData>
  <sheetProtection password="CA22" sheet="1" selectLockedCells="1"/>
  <mergeCells count="30">
    <mergeCell ref="B64:D64"/>
    <mergeCell ref="B66:D66"/>
    <mergeCell ref="B67:D68"/>
    <mergeCell ref="B71:E73"/>
    <mergeCell ref="F71:G77"/>
    <mergeCell ref="F79:G79"/>
    <mergeCell ref="D45:F45"/>
    <mergeCell ref="B47:C47"/>
    <mergeCell ref="D47:E47"/>
    <mergeCell ref="B49:E49"/>
    <mergeCell ref="B52:D52"/>
    <mergeCell ref="B54:E54"/>
    <mergeCell ref="B32:C32"/>
    <mergeCell ref="B33:C33"/>
    <mergeCell ref="B34:C34"/>
    <mergeCell ref="B35:C35"/>
    <mergeCell ref="B37:C37"/>
    <mergeCell ref="B39:E39"/>
    <mergeCell ref="B23:C23"/>
    <mergeCell ref="B25:C25"/>
    <mergeCell ref="B27:C27"/>
    <mergeCell ref="B28:C28"/>
    <mergeCell ref="B30:C30"/>
    <mergeCell ref="B31:C31"/>
    <mergeCell ref="F2:G2"/>
    <mergeCell ref="B6:G6"/>
    <mergeCell ref="D8:E8"/>
    <mergeCell ref="B12:C12"/>
    <mergeCell ref="D12:E12"/>
    <mergeCell ref="B21:G21"/>
  </mergeCells>
  <conditionalFormatting sqref="E24">
    <cfRule type="cellIs" priority="1" dxfId="10" operator="equal" stopIfTrue="1">
      <formula>"USAR PyD.2"</formula>
    </cfRule>
  </conditionalFormatting>
  <conditionalFormatting sqref="E23">
    <cfRule type="cellIs" priority="2" dxfId="11" operator="equal" stopIfTrue="1">
      <formula>"Usar PyD.2"</formula>
    </cfRule>
  </conditionalFormatting>
  <conditionalFormatting sqref="C2 F4 C4">
    <cfRule type="cellIs" priority="3" dxfId="12" operator="greaterThan" stopIfTrue="1">
      <formula>0</formula>
    </cfRule>
  </conditionalFormatting>
  <conditionalFormatting sqref="E66">
    <cfRule type="cellIs" priority="4" dxfId="13" operator="lessThan" stopIfTrue="1">
      <formula>$E$64</formula>
    </cfRule>
    <cfRule type="cellIs" priority="5" dxfId="14" operator="notEqual" stopIfTrue="1">
      <formula>0</formula>
    </cfRule>
  </conditionalFormatting>
  <conditionalFormatting sqref="D23 F41:F43 D37 D41:D43 D27:D34">
    <cfRule type="cellIs" priority="6" dxfId="14" operator="greaterThan" stopIfTrue="1">
      <formula>0</formula>
    </cfRule>
  </conditionalFormatting>
  <conditionalFormatting sqref="F2:G2">
    <cfRule type="cellIs" priority="7" dxfId="12" operator="greaterThan" stopIfTrue="1">
      <formula>0</formula>
    </cfRule>
    <cfRule type="cellIs" priority="8" dxfId="15" operator="equal" stopIfTrue="1">
      <formula>0</formula>
    </cfRule>
  </conditionalFormatting>
  <conditionalFormatting sqref="B71:E73">
    <cfRule type="cellIs" priority="9" dxfId="13" operator="equal" stopIfTrue="1">
      <formula>$J$72</formula>
    </cfRule>
  </conditionalFormatting>
  <dataValidations count="3">
    <dataValidation type="list" allowBlank="1" showErrorMessage="1" sqref="D23">
      <formula1>$I$23:$I$26</formula1>
      <formula2>0</formula2>
    </dataValidation>
    <dataValidation type="list" showErrorMessage="1" sqref="D27:D34">
      <formula1>"1"</formula1>
      <formula2>0</formula2>
    </dataValidation>
    <dataValidation type="list" allowBlank="1" showErrorMessage="1" sqref="G23:G25">
      <formula1>$H$24</formula1>
      <formula2>0</formula2>
    </dataValidation>
  </dataValidations>
  <printOptions/>
  <pageMargins left="1.1811023622047245" right="0.7874015748031497" top="1.3779527559055118" bottom="0.5511811023622047" header="0.4724409448818898" footer="0.5118110236220472"/>
  <pageSetup fitToHeight="1" fitToWidth="1" horizontalDpi="300" verticalDpi="300" orientation="portrait" paperSize="9" scale="61" r:id="rId1"/>
  <headerFooter alignWithMargins="0">
    <oddHeader>&amp;C&amp;"Arial,Negrita"&amp;16PLANILLA ANEXA</oddHeader>
    <oddFooter>&amp;C&amp;"Arial,Negrita"Vigente desde el 01/04/2024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85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6384" width="9.140625" style="164" customWidth="1"/>
  </cols>
  <sheetData>
    <row r="1" ht="18">
      <c r="A1" s="165" t="s">
        <v>353</v>
      </c>
    </row>
    <row r="2" ht="14.25">
      <c r="A2" s="166"/>
    </row>
    <row r="3" ht="14.25">
      <c r="A3" s="166"/>
    </row>
    <row r="4" ht="15">
      <c r="A4" s="167" t="s">
        <v>354</v>
      </c>
    </row>
    <row r="5" ht="14.25">
      <c r="A5" s="166"/>
    </row>
    <row r="6" ht="14.25">
      <c r="A6" s="166" t="s">
        <v>355</v>
      </c>
    </row>
    <row r="7" ht="14.25">
      <c r="A7" s="166"/>
    </row>
    <row r="8" ht="15">
      <c r="A8" s="167" t="s">
        <v>356</v>
      </c>
    </row>
    <row r="9" ht="14.25">
      <c r="A9" s="166" t="s">
        <v>357</v>
      </c>
    </row>
    <row r="10" ht="15">
      <c r="A10" s="167" t="s">
        <v>358</v>
      </c>
    </row>
    <row r="11" ht="15">
      <c r="A11" s="167" t="s">
        <v>359</v>
      </c>
    </row>
    <row r="12" ht="15">
      <c r="A12" s="167" t="s">
        <v>360</v>
      </c>
    </row>
    <row r="13" ht="15">
      <c r="A13" s="167" t="s">
        <v>361</v>
      </c>
    </row>
    <row r="14" ht="15">
      <c r="A14" s="167" t="s">
        <v>362</v>
      </c>
    </row>
    <row r="15" ht="14.25">
      <c r="A15" s="166" t="s">
        <v>363</v>
      </c>
    </row>
    <row r="16" ht="15">
      <c r="A16" s="167" t="s">
        <v>364</v>
      </c>
    </row>
    <row r="17" ht="14.25">
      <c r="A17" s="166"/>
    </row>
    <row r="18" ht="15">
      <c r="A18" s="167" t="s">
        <v>365</v>
      </c>
    </row>
    <row r="19" ht="14.25">
      <c r="A19" s="166"/>
    </row>
    <row r="20" ht="14.25">
      <c r="A20" s="166" t="s">
        <v>366</v>
      </c>
    </row>
    <row r="21" ht="14.25">
      <c r="A21" s="166"/>
    </row>
    <row r="22" ht="16.5">
      <c r="A22" s="167" t="s">
        <v>367</v>
      </c>
    </row>
    <row r="23" ht="15">
      <c r="A23" s="167" t="s">
        <v>368</v>
      </c>
    </row>
    <row r="24" ht="15">
      <c r="A24" s="167" t="s">
        <v>369</v>
      </c>
    </row>
    <row r="25" ht="14.25">
      <c r="A25" s="166"/>
    </row>
    <row r="26" ht="14.25">
      <c r="A26" s="166"/>
    </row>
    <row r="27" ht="15">
      <c r="A27" s="167" t="s">
        <v>307</v>
      </c>
    </row>
    <row r="28" ht="14.25">
      <c r="A28" s="166"/>
    </row>
    <row r="29" ht="14.25">
      <c r="A29" s="166" t="s">
        <v>370</v>
      </c>
    </row>
    <row r="30" ht="14.25">
      <c r="A30" s="166"/>
    </row>
    <row r="31" ht="16.5">
      <c r="A31" s="167" t="s">
        <v>371</v>
      </c>
    </row>
    <row r="32" ht="14.25">
      <c r="A32" s="166" t="s">
        <v>372</v>
      </c>
    </row>
    <row r="33" ht="15">
      <c r="A33" s="167" t="s">
        <v>373</v>
      </c>
    </row>
    <row r="34" ht="14.25">
      <c r="A34" s="166" t="s">
        <v>374</v>
      </c>
    </row>
    <row r="35" ht="15">
      <c r="A35" s="167" t="s">
        <v>375</v>
      </c>
    </row>
    <row r="36" ht="14.25">
      <c r="A36" s="168" t="s">
        <v>376</v>
      </c>
    </row>
    <row r="37" ht="14.25">
      <c r="A37" s="168" t="s">
        <v>377</v>
      </c>
    </row>
    <row r="38" ht="14.25">
      <c r="A38" s="168" t="s">
        <v>378</v>
      </c>
    </row>
    <row r="39" ht="14.25">
      <c r="A39" s="168" t="s">
        <v>379</v>
      </c>
    </row>
    <row r="40" ht="14.25">
      <c r="A40" s="166" t="s">
        <v>380</v>
      </c>
    </row>
    <row r="41" ht="15">
      <c r="A41" s="167" t="s">
        <v>381</v>
      </c>
    </row>
    <row r="42" ht="14.25">
      <c r="A42" s="168" t="s">
        <v>382</v>
      </c>
    </row>
    <row r="43" ht="14.25">
      <c r="A43" s="168" t="s">
        <v>383</v>
      </c>
    </row>
    <row r="44" ht="14.25">
      <c r="A44" s="168" t="s">
        <v>384</v>
      </c>
    </row>
    <row r="45" ht="14.25">
      <c r="A45" s="168" t="s">
        <v>385</v>
      </c>
    </row>
    <row r="46" ht="14.25">
      <c r="A46" s="168" t="s">
        <v>386</v>
      </c>
    </row>
    <row r="47" ht="14.25">
      <c r="A47" s="168" t="s">
        <v>387</v>
      </c>
    </row>
    <row r="48" ht="14.25">
      <c r="A48" s="168" t="s">
        <v>388</v>
      </c>
    </row>
    <row r="49" ht="15.75">
      <c r="A49" s="167" t="s">
        <v>389</v>
      </c>
    </row>
    <row r="50" ht="14.25">
      <c r="A50" s="168" t="s">
        <v>390</v>
      </c>
    </row>
    <row r="51" ht="14.25">
      <c r="A51" s="168" t="s">
        <v>391</v>
      </c>
    </row>
    <row r="52" ht="14.25">
      <c r="A52" s="168" t="s">
        <v>392</v>
      </c>
    </row>
    <row r="53" s="169" customFormat="1" ht="14.25">
      <c r="A53" s="168" t="s">
        <v>393</v>
      </c>
    </row>
    <row r="54" s="169" customFormat="1" ht="14.25">
      <c r="A54" s="168" t="s">
        <v>394</v>
      </c>
    </row>
    <row r="55" s="169" customFormat="1" ht="14.25">
      <c r="A55" s="168" t="s">
        <v>395</v>
      </c>
    </row>
    <row r="56" ht="14.25">
      <c r="A56" s="166"/>
    </row>
    <row r="57" ht="15">
      <c r="A57" s="167" t="s">
        <v>396</v>
      </c>
    </row>
    <row r="58" ht="15">
      <c r="A58" s="167"/>
    </row>
    <row r="59" ht="14.25">
      <c r="A59" s="166" t="s">
        <v>397</v>
      </c>
    </row>
    <row r="60" ht="14.25">
      <c r="A60" s="166"/>
    </row>
    <row r="61" ht="16.5">
      <c r="A61" s="167" t="s">
        <v>398</v>
      </c>
    </row>
    <row r="62" ht="14.25">
      <c r="A62" s="166" t="s">
        <v>399</v>
      </c>
    </row>
    <row r="63" ht="14.25">
      <c r="A63" s="166" t="s">
        <v>400</v>
      </c>
    </row>
    <row r="64" ht="15">
      <c r="A64" s="167" t="s">
        <v>401</v>
      </c>
    </row>
    <row r="65" ht="14.25">
      <c r="A65" s="166" t="s">
        <v>402</v>
      </c>
    </row>
    <row r="66" ht="15.75">
      <c r="A66" s="167" t="s">
        <v>403</v>
      </c>
    </row>
    <row r="67" ht="14.25">
      <c r="A67" s="166" t="s">
        <v>404</v>
      </c>
    </row>
    <row r="68" ht="14.25">
      <c r="A68" s="166" t="s">
        <v>405</v>
      </c>
    </row>
    <row r="69" ht="14.25">
      <c r="A69" s="166" t="s">
        <v>406</v>
      </c>
    </row>
    <row r="70" ht="14.25">
      <c r="A70" s="166" t="s">
        <v>407</v>
      </c>
    </row>
    <row r="71" ht="14.25">
      <c r="A71" s="166" t="s">
        <v>408</v>
      </c>
    </row>
    <row r="72" ht="14.25">
      <c r="A72" s="166" t="s">
        <v>409</v>
      </c>
    </row>
    <row r="73" ht="15.75">
      <c r="A73" s="167" t="s">
        <v>410</v>
      </c>
    </row>
    <row r="74" ht="14.25">
      <c r="A74" s="166" t="s">
        <v>411</v>
      </c>
    </row>
    <row r="75" ht="14.25">
      <c r="A75" s="166" t="s">
        <v>412</v>
      </c>
    </row>
    <row r="76" ht="14.25">
      <c r="A76" s="166" t="s">
        <v>413</v>
      </c>
    </row>
    <row r="77" ht="14.25">
      <c r="A77" s="166" t="s">
        <v>414</v>
      </c>
    </row>
    <row r="78" ht="14.25">
      <c r="A78" s="166" t="s">
        <v>415</v>
      </c>
    </row>
    <row r="79" ht="15.75">
      <c r="A79" s="167" t="s">
        <v>416</v>
      </c>
    </row>
    <row r="80" ht="14.25">
      <c r="A80" s="166" t="s">
        <v>411</v>
      </c>
    </row>
    <row r="81" ht="15.75">
      <c r="A81" s="166" t="s">
        <v>417</v>
      </c>
    </row>
    <row r="82" ht="14.25">
      <c r="A82" s="166" t="s">
        <v>418</v>
      </c>
    </row>
    <row r="83" ht="14.25">
      <c r="A83" s="166" t="s">
        <v>419</v>
      </c>
    </row>
    <row r="84" ht="14.25">
      <c r="A84" s="166" t="s">
        <v>420</v>
      </c>
    </row>
    <row r="85" ht="14.25">
      <c r="A85" s="166" t="s">
        <v>421</v>
      </c>
    </row>
  </sheetData>
  <sheetProtection password="CA22" sheet="1"/>
  <printOptions horizontalCentered="1"/>
  <pageMargins left="0.3" right="0.19652777777777777" top="0.5902777777777778" bottom="0.5902777777777778" header="0.5118110236220472" footer="0.5118110236220472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F3" sqref="F3"/>
    </sheetView>
  </sheetViews>
  <sheetFormatPr defaultColWidth="11.00390625" defaultRowHeight="12.75"/>
  <sheetData>
    <row r="4" spans="2:5" ht="12.75" customHeight="1">
      <c r="B4" s="201" t="s">
        <v>422</v>
      </c>
      <c r="C4" s="201"/>
      <c r="D4" s="202">
        <f>IF('PD 1'!E66&lt;=156000,3900,(('PD 1'!E66)*2.5%))</f>
        <v>3900</v>
      </c>
      <c r="E4" s="202"/>
    </row>
    <row r="5" spans="2:5" ht="12.75" customHeight="1">
      <c r="B5" s="201"/>
      <c r="C5" s="201"/>
      <c r="D5" s="202"/>
      <c r="E5" s="202"/>
    </row>
    <row r="6" spans="2:5" ht="12.75">
      <c r="B6" s="201"/>
      <c r="C6" s="201"/>
      <c r="D6" s="202"/>
      <c r="E6" s="202"/>
    </row>
    <row r="7" spans="2:5" ht="12.75">
      <c r="B7" s="201"/>
      <c r="C7" s="201"/>
      <c r="D7" s="202"/>
      <c r="E7" s="202"/>
    </row>
    <row r="10" spans="2:5" ht="15">
      <c r="B10" s="170"/>
      <c r="C10" s="171"/>
      <c r="D10" s="171"/>
      <c r="E10" s="172"/>
    </row>
    <row r="11" spans="2:5" ht="12.75">
      <c r="B11" s="203" t="s">
        <v>423</v>
      </c>
      <c r="C11" s="203"/>
      <c r="D11" s="204">
        <v>0.012</v>
      </c>
      <c r="E11" s="204"/>
    </row>
    <row r="12" spans="2:5" ht="12.75">
      <c r="B12" s="203"/>
      <c r="C12" s="203"/>
      <c r="D12" s="205">
        <f>'PD 1'!E66*1.2%</f>
        <v>0</v>
      </c>
      <c r="E12" s="205"/>
    </row>
    <row r="13" spans="2:5" ht="12.75">
      <c r="B13" s="203"/>
      <c r="C13" s="203"/>
      <c r="D13" s="205"/>
      <c r="E13" s="205"/>
    </row>
    <row r="14" spans="2:5" ht="12.75">
      <c r="B14" s="203"/>
      <c r="C14" s="203"/>
      <c r="D14" s="205"/>
      <c r="E14" s="205"/>
    </row>
    <row r="15" spans="2:5" ht="12.75">
      <c r="B15" s="203"/>
      <c r="C15" s="203"/>
      <c r="D15" s="205"/>
      <c r="E15" s="205"/>
    </row>
    <row r="18" spans="2:5" ht="12.75" customHeight="1">
      <c r="B18" s="201" t="s">
        <v>424</v>
      </c>
      <c r="C18" s="201"/>
      <c r="D18" s="202">
        <f>'PD 1'!E66*0.1</f>
        <v>0</v>
      </c>
      <c r="E18" s="202"/>
    </row>
    <row r="19" spans="2:5" ht="12.75" customHeight="1">
      <c r="B19" s="201"/>
      <c r="C19" s="201"/>
      <c r="D19" s="202"/>
      <c r="E19" s="202"/>
    </row>
    <row r="20" spans="2:5" ht="12.75">
      <c r="B20" s="201"/>
      <c r="C20" s="201"/>
      <c r="D20" s="202"/>
      <c r="E20" s="202"/>
    </row>
    <row r="21" spans="2:5" ht="12.75">
      <c r="B21" s="201"/>
      <c r="C21" s="201"/>
      <c r="D21" s="202"/>
      <c r="E21" s="202"/>
    </row>
  </sheetData>
  <sheetProtection password="CA22" sheet="1" selectLockedCells="1" selectUnlockedCells="1"/>
  <mergeCells count="7">
    <mergeCell ref="B4:C7"/>
    <mergeCell ref="D4:E7"/>
    <mergeCell ref="B11:C15"/>
    <mergeCell ref="D11:E11"/>
    <mergeCell ref="D12:E15"/>
    <mergeCell ref="B18:C21"/>
    <mergeCell ref="D18:E21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2024-03-31T16:20:31Z</cp:lastPrinted>
  <dcterms:created xsi:type="dcterms:W3CDTF">2024-03-31T16:21:20Z</dcterms:created>
  <dcterms:modified xsi:type="dcterms:W3CDTF">2024-03-31T16:21:21Z</dcterms:modified>
  <cp:category/>
  <cp:version/>
  <cp:contentType/>
  <cp:contentStatus/>
</cp:coreProperties>
</file>