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DT Agropecuaria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'DT Agropecuaria'!$B$1:$G$50</definedName>
    <definedName name="EISat1">'[1]ELOY (2)'!#REF!</definedName>
    <definedName name="Excel_BuiltIn__FilterDatabase" localSheetId="1">'$xha'!$A$3:$E$1145</definedName>
    <definedName name="Excel_BuiltIn_Print_Area" localSheetId="4">'DT Agropecuaria'!$B$1:$H$52</definedName>
    <definedName name="Excel_BuiltIn_Print_Titles" localSheetId="4">'DT Agropecuaria'!$1:$7</definedName>
    <definedName name="material">'[1]ELOY'!$A$8:$G$75</definedName>
    <definedName name="reptec">#REF!</definedName>
    <definedName name="residuos">'DT Agropecuaria'!$M$10</definedName>
    <definedName name="_xlnm.Print_Titles" localSheetId="4">'DT Agropecuaria'!$1:$7</definedName>
    <definedName name="valorfiscal" localSheetId="4">'DT Agropecuaria'!#REF!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<sst xmlns="http://schemas.openxmlformats.org/spreadsheetml/2006/main" count="1473" uniqueCount="359">
  <si>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</si>
  <si>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</si>
  <si>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</si>
  <si>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</si>
  <si>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</si>
  <si>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</si>
  <si>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</si>
  <si>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</si>
  <si>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</si>
  <si>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</si>
  <si>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</si>
  <si>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</si>
  <si>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</si>
  <si>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</si>
  <si>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</si>
  <si>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</si>
  <si>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</si>
  <si>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</si>
  <si>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</si>
  <si>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</si>
  <si>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</si>
  <si>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</si>
  <si>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</si>
  <si>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</si>
  <si>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</si>
  <si>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</si>
  <si>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</si>
  <si>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</si>
  <si>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</si>
  <si>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</si>
  <si>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</si>
  <si>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</si>
  <si>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</si>
  <si>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</si>
  <si>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</si>
  <si>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</si>
  <si>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</si>
  <si>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</si>
  <si>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</si>
  <si>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</si>
  <si>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</si>
  <si>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</si>
  <si>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</si>
  <si>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</si>
  <si>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</si>
  <si>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</si>
  <si>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</si>
  <si>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</si>
  <si>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</si>
  <si>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</si>
  <si>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</si>
  <si>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</si>
  <si>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</si>
  <si>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</si>
  <si>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</si>
  <si>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</si>
  <si>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</si>
  <si>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</si>
  <si>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</si>
  <si>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</si>
  <si>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</si>
  <si>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</si>
  <si>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</si>
  <si>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</si>
  <si>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</si>
  <si>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</si>
  <si>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</si>
  <si>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</si>
  <si>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</si>
  <si>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</si>
  <si>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</si>
  <si>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</si>
  <si>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</si>
  <si>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</si>
  <si>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</si>
  <si>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</si>
  <si>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</si>
  <si>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</si>
  <si>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</si>
  <si>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</si>
  <si>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</si>
  <si>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</si>
  <si>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</si>
  <si>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</si>
  <si>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</si>
  <si>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</si>
  <si>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</si>
  <si>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</si>
  <si>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</si>
  <si>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</si>
  <si>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</si>
  <si>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</si>
  <si>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</si>
  <si>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</si>
  <si>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</si>
  <si>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</si>
  <si>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</si>
  <si>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</si>
  <si>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</si>
  <si>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</si>
  <si>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</si>
  <si>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</si>
  <si>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</si>
  <si>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</si>
  <si>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</si>
  <si>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</si>
  <si>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</si>
  <si>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</si>
  <si>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</si>
  <si>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</si>
  <si>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</si>
  <si>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</si>
  <si>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</si>
  <si>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</si>
  <si>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</si>
  <si>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</si>
  <si>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</si>
  <si>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</si>
  <si>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</si>
  <si>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</si>
  <si>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</si>
  <si>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</si>
  <si>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</si>
  <si>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</si>
  <si>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</si>
  <si>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</si>
  <si>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</si>
  <si>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</si>
  <si>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</si>
  <si>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</si>
  <si>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</si>
  <si>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</si>
  <si>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</si>
  <si>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</si>
  <si>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</si>
  <si>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</si>
  <si>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</si>
  <si>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</si>
  <si>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</si>
  <si>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</si>
  <si>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</si>
  <si>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</si>
  <si>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</si>
  <si>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</si>
  <si>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</si>
  <si>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</si>
  <si>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</si>
  <si>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</si>
  <si>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</si>
  <si>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</si>
  <si>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</si>
  <si>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</si>
  <si>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</si>
  <si>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</si>
  <si>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</si>
  <si>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</si>
  <si>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</si>
  <si>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</si>
  <si>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</si>
  <si>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</si>
  <si>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</si>
  <si>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</si>
  <si>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</si>
  <si>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</si>
  <si>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</si>
  <si>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</si>
  <si>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</si>
  <si>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</si>
  <si>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</si>
  <si>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</si>
  <si>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</si>
  <si>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</si>
  <si>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</si>
  <si>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</si>
  <si>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</si>
  <si>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</si>
  <si>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</si>
  <si>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</si>
  <si>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</si>
  <si>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</si>
  <si>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</si>
  <si>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</si>
  <si>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</si>
  <si>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</si>
  <si>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</si>
  <si>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</si>
  <si>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</si>
  <si>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</si>
  <si>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</si>
  <si>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</si>
  <si>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</si>
  <si>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</si>
  <si>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</si>
  <si>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</si>
  <si>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</si>
  <si>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</si>
  <si>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</si>
  <si>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</si>
  <si>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</si>
  <si>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</si>
  <si>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</si>
  <si>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</si>
  <si>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</si>
  <si>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</si>
  <si>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</si>
  <si>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</si>
  <si>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</si>
  <si>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</si>
  <si>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</si>
  <si>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</si>
  <si>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</si>
  <si>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</si>
  <si>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</si>
  <si>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</si>
  <si>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</si>
  <si>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</si>
  <si>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</si>
  <si>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</si>
  <si>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</si>
  <si>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</si>
  <si>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</si>
  <si>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</si>
  <si>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</si>
  <si>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</si>
  <si>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</si>
  <si>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</si>
  <si>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</si>
  <si>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</si>
  <si>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</si>
  <si>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</si>
  <si>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</si>
  <si>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</si>
  <si>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</si>
  <si>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</si>
  <si>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</si>
  <si>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</si>
  <si>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</si>
  <si>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</si>
  <si>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</si>
  <si>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</si>
  <si>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</si>
  <si>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</si>
  <si>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</si>
  <si>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</si>
  <si>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</si>
  <si>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</si>
  <si>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</si>
  <si>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</si>
  <si>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</si>
  <si>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</si>
  <si>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</si>
  <si>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</si>
  <si>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</si>
  <si>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</si>
  <si>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</si>
  <si>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</si>
  <si>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</si>
  <si>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</si>
  <si>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</si>
  <si>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</si>
  <si>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</si>
  <si>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</si>
  <si>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</si>
  <si>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</si>
  <si>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</si>
  <si>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</si>
  <si>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</si>
  <si>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</si>
  <si>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</si>
  <si>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</si>
  <si>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</si>
  <si>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</si>
  <si>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</si>
  <si>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</si>
  <si>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</si>
  <si>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</si>
  <si>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</si>
  <si>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</si>
  <si>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</si>
  <si>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</si>
  <si>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</si>
  <si>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</si>
  <si>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</si>
  <si>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</si>
  <si>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</si>
  <si>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</si>
  <si>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</si>
  <si>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</si>
  <si>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</si>
  <si>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</si>
  <si>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</si>
  <si>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</si>
  <si>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</si>
  <si>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</si>
  <si>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</si>
  <si>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</si>
  <si>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</si>
  <si>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</si>
  <si>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</si>
  <si>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</si>
  <si>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</si>
  <si>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</si>
  <si>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</si>
  <si>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</si>
  <si>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</si>
  <si>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</si>
  <si>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</si>
  <si>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</si>
  <si>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Dirección Técnica y/o Asesor Técnica de Empresas dedicadas a la Actividad Agropecuaria</t>
  </si>
  <si>
    <t>Entrada Bruta Anual</t>
  </si>
  <si>
    <t>HM</t>
  </si>
  <si>
    <t>Hasta $500.000</t>
  </si>
  <si>
    <t>hasta 3 hs semanales de trabajo</t>
  </si>
  <si>
    <t>de $500.001 a $999.999</t>
  </si>
  <si>
    <t>hasta 4hs semanales</t>
  </si>
  <si>
    <t>de $1.000.000 a $1.999.999</t>
  </si>
  <si>
    <t>hasta 5 hs semanales</t>
  </si>
  <si>
    <t>de $2.000.000 a $3.999.999</t>
  </si>
  <si>
    <t>hasta 7,5 hs semanales</t>
  </si>
  <si>
    <t>de $4.000.000 a $7.999.999</t>
  </si>
  <si>
    <t>hasta 10 hs semanales</t>
  </si>
  <si>
    <t>de $8.000.000 a $14.999.999</t>
  </si>
  <si>
    <t>hasta 13 hs semanales</t>
  </si>
  <si>
    <t>de $15.000.000 a $19.999.999</t>
  </si>
  <si>
    <t>hasta 17,5 hs semanales</t>
  </si>
  <si>
    <t>hasta 20 hs semanales</t>
  </si>
  <si>
    <t>Indique con 1 donde corresponda</t>
  </si>
  <si>
    <t>Años contratados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</si>
  <si>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</si>
  <si>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</si>
  <si>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</si>
  <si>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</si>
  <si>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</si>
  <si>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</si>
  <si>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</si>
  <si>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</si>
  <si>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</si>
  <si>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</si>
  <si>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</si>
  <si>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</si>
  <si>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</si>
  <si>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    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</si>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</sst>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0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0" fillId="25" borderId="37" xfId="0" applyNumberFormat="1" applyFont="1" applyFill="1" applyBorder="1" applyAlignment="1" applyProtection="1">
      <alignment horizontal="center"/>
      <protection locked="0"/>
    </xf>
    <xf numFmtId="0" fontId="35" fillId="0" borderId="38" xfId="0" applyFont="1" applyFill="1" applyBorder="1" applyAlignment="1" applyProtection="1">
      <alignment horizontal="left" vertical="center"/>
      <protection hidden="1"/>
    </xf>
    <xf numFmtId="0" fontId="35" fillId="0" borderId="39" xfId="0" applyFont="1" applyFill="1" applyBorder="1" applyAlignment="1" applyProtection="1">
      <alignment horizontal="left" vertical="center"/>
      <protection hidden="1"/>
    </xf>
    <xf numFmtId="0" fontId="35" fillId="0" borderId="4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8" fillId="0" borderId="0" xfId="0" applyFont="1" applyFill="1" applyAlignment="1" applyProtection="1">
      <alignment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41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171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left"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171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39" fillId="0" borderId="42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43" xfId="0" applyFont="1" applyBorder="1" applyAlignment="1" applyProtection="1">
      <alignment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172" fontId="44" fillId="0" borderId="0" xfId="0" applyNumberFormat="1" applyFont="1" applyAlignment="1" applyProtection="1">
      <alignment horizontal="center" vertical="center"/>
      <protection hidden="1"/>
    </xf>
    <xf numFmtId="172" fontId="44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39" fillId="0" borderId="44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164" fontId="29" fillId="0" borderId="0" xfId="0" applyNumberFormat="1" applyFont="1" applyFill="1" applyAlignment="1" applyProtection="1">
      <alignment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34" fillId="0" borderId="41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7" fillId="0" borderId="0" xfId="48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41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48" fillId="0" borderId="37" xfId="0" applyFont="1" applyBorder="1" applyAlignment="1">
      <alignment/>
    </xf>
    <xf numFmtId="0" fontId="48" fillId="0" borderId="0" xfId="0" applyFont="1" applyBorder="1" applyAlignment="1">
      <alignment/>
    </xf>
    <xf numFmtId="189" fontId="0" fillId="0" borderId="45" xfId="0" applyNumberFormat="1" applyBorder="1" applyAlignment="1" applyProtection="1">
      <alignment horizontal="center"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24" fillId="0" borderId="46" xfId="0" applyFont="1" applyBorder="1" applyAlignment="1" applyProtection="1">
      <alignment/>
      <protection hidden="1"/>
    </xf>
    <xf numFmtId="0" fontId="24" fillId="26" borderId="47" xfId="0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26" borderId="46" xfId="0" applyFill="1" applyBorder="1" applyAlignment="1" applyProtection="1">
      <alignment/>
      <protection hidden="1"/>
    </xf>
    <xf numFmtId="172" fontId="20" fillId="27" borderId="47" xfId="0" applyNumberFormat="1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7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7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hidden="1"/>
    </xf>
    <xf numFmtId="2" fontId="20" fillId="27" borderId="47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26" borderId="50" xfId="0" applyFill="1" applyBorder="1" applyAlignment="1" applyProtection="1">
      <alignment/>
      <protection hidden="1"/>
    </xf>
    <xf numFmtId="3" fontId="0" fillId="26" borderId="50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1" xfId="52" applyFont="1" applyFill="1" applyBorder="1" applyAlignment="1">
      <alignment/>
    </xf>
    <xf numFmtId="176" fontId="0" fillId="0" borderId="51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6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6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28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2" xfId="0" applyNumberFormat="1" applyBorder="1" applyAlignment="1" applyProtection="1">
      <alignment/>
      <protection hidden="1"/>
    </xf>
    <xf numFmtId="172" fontId="0" fillId="0" borderId="53" xfId="0" applyNumberFormat="1" applyBorder="1" applyAlignment="1" applyProtection="1">
      <alignment/>
      <protection hidden="1"/>
    </xf>
    <xf numFmtId="189" fontId="0" fillId="0" borderId="48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89" fontId="0" fillId="0" borderId="45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9" fontId="0" fillId="27" borderId="52" xfId="0" applyNumberFormat="1" applyFill="1" applyBorder="1" applyAlignment="1" applyProtection="1">
      <alignment/>
      <protection hidden="1"/>
    </xf>
    <xf numFmtId="189" fontId="0" fillId="0" borderId="51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189" fontId="0" fillId="0" borderId="53" xfId="0" applyNumberFormat="1" applyBorder="1" applyAlignment="1" applyProtection="1">
      <alignment/>
      <protection hidden="1"/>
    </xf>
    <xf numFmtId="189" fontId="0" fillId="27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54" xfId="0" applyNumberForma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182" fontId="26" fillId="26" borderId="46" xfId="0" applyNumberFormat="1" applyFont="1" applyFill="1" applyBorder="1" applyAlignment="1">
      <alignment horizontal="center"/>
    </xf>
    <xf numFmtId="182" fontId="26" fillId="0" borderId="46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29" borderId="0" xfId="0" applyFont="1" applyFill="1" applyAlignment="1">
      <alignment/>
    </xf>
    <xf numFmtId="0" fontId="0" fillId="29" borderId="0" xfId="0" applyFill="1" applyAlignment="1">
      <alignment/>
    </xf>
    <xf numFmtId="182" fontId="26" fillId="0" borderId="56" xfId="0" applyNumberFormat="1" applyFont="1" applyBorder="1" applyAlignment="1">
      <alignment horizontal="center"/>
    </xf>
    <xf numFmtId="182" fontId="0" fillId="26" borderId="0" xfId="0" applyNumberFormat="1" applyFill="1" applyAlignment="1" applyProtection="1">
      <alignment/>
      <protection hidden="1"/>
    </xf>
    <xf numFmtId="0" fontId="28" fillId="29" borderId="56" xfId="0" applyFont="1" applyFill="1" applyBorder="1" applyAlignment="1">
      <alignment/>
    </xf>
    <xf numFmtId="0" fontId="28" fillId="29" borderId="57" xfId="0" applyFont="1" applyFill="1" applyBorder="1" applyAlignment="1">
      <alignment/>
    </xf>
    <xf numFmtId="44" fontId="0" fillId="26" borderId="0" xfId="0" applyNumberFormat="1" applyFill="1" applyAlignment="1" applyProtection="1">
      <alignment/>
      <protection hidden="1"/>
    </xf>
    <xf numFmtId="0" fontId="28" fillId="29" borderId="49" xfId="0" applyFont="1" applyFill="1" applyBorder="1" applyAlignment="1">
      <alignment/>
    </xf>
    <xf numFmtId="0" fontId="28" fillId="29" borderId="46" xfId="0" applyFont="1" applyFill="1" applyBorder="1" applyAlignment="1">
      <alignment/>
    </xf>
    <xf numFmtId="0" fontId="28" fillId="0" borderId="49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59" xfId="0" applyFont="1" applyBorder="1" applyAlignment="1">
      <alignment/>
    </xf>
    <xf numFmtId="182" fontId="26" fillId="0" borderId="49" xfId="0" applyNumberFormat="1" applyFont="1" applyBorder="1" applyAlignment="1">
      <alignment horizontal="center"/>
    </xf>
    <xf numFmtId="2" fontId="28" fillId="0" borderId="56" xfId="0" applyNumberFormat="1" applyFont="1" applyBorder="1" applyAlignment="1">
      <alignment horizontal="center"/>
    </xf>
    <xf numFmtId="0" fontId="28" fillId="0" borderId="56" xfId="0" applyFont="1" applyBorder="1" applyAlignment="1">
      <alignment/>
    </xf>
    <xf numFmtId="0" fontId="28" fillId="0" borderId="57" xfId="0" applyFont="1" applyBorder="1" applyAlignment="1">
      <alignment/>
    </xf>
    <xf numFmtId="2" fontId="28" fillId="0" borderId="49" xfId="0" applyNumberFormat="1" applyFont="1" applyBorder="1" applyAlignment="1">
      <alignment horizontal="center"/>
    </xf>
    <xf numFmtId="182" fontId="26" fillId="0" borderId="58" xfId="0" applyNumberFormat="1" applyFont="1" applyBorder="1" applyAlignment="1">
      <alignment horizontal="center"/>
    </xf>
    <xf numFmtId="2" fontId="28" fillId="0" borderId="58" xfId="0" applyNumberFormat="1" applyFont="1" applyBorder="1" applyAlignment="1">
      <alignment horizontal="center"/>
    </xf>
    <xf numFmtId="0" fontId="0" fillId="0" borderId="51" xfId="0" applyBorder="1" applyAlignment="1" applyProtection="1">
      <alignment horizontal="center"/>
      <protection hidden="1"/>
    </xf>
    <xf numFmtId="189" fontId="0" fillId="0" borderId="50" xfId="0" applyNumberFormat="1" applyBorder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172" fontId="53" fillId="30" borderId="40" xfId="0" applyNumberFormat="1" applyFont="1" applyFill="1" applyBorder="1" applyAlignment="1" applyProtection="1">
      <alignment horizontal="center" vertical="center"/>
      <protection hidden="1"/>
    </xf>
    <xf numFmtId="175" fontId="53" fillId="25" borderId="40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textRotation="90"/>
      <protection hidden="1"/>
    </xf>
    <xf numFmtId="0" fontId="19" fillId="0" borderId="61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164" fontId="0" fillId="0" borderId="63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189" fontId="0" fillId="0" borderId="50" xfId="0" applyNumberForma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76" fontId="0" fillId="0" borderId="64" xfId="52" applyFont="1" applyBorder="1" applyAlignment="1">
      <alignment horizontal="center" vertical="center" wrapText="1"/>
    </xf>
    <xf numFmtId="176" fontId="0" fillId="0" borderId="65" xfId="52" applyFont="1" applyBorder="1" applyAlignment="1">
      <alignment horizontal="center" vertical="center" wrapText="1"/>
    </xf>
    <xf numFmtId="176" fontId="0" fillId="0" borderId="66" xfId="52" applyFont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3" fillId="0" borderId="38" xfId="0" applyFont="1" applyFill="1" applyBorder="1" applyAlignment="1" applyProtection="1">
      <alignment horizontal="center" vertical="center"/>
      <protection hidden="1"/>
    </xf>
    <xf numFmtId="0" fontId="45" fillId="0" borderId="41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wrapText="1"/>
      <protection hidden="1"/>
    </xf>
    <xf numFmtId="0" fontId="29" fillId="25" borderId="37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49" fontId="30" fillId="25" borderId="0" xfId="0" applyNumberFormat="1" applyFont="1" applyFill="1" applyBorder="1" applyAlignment="1" applyProtection="1">
      <alignment horizontal="center"/>
      <protection locked="0"/>
    </xf>
    <xf numFmtId="0" fontId="48" fillId="30" borderId="38" xfId="0" applyFont="1" applyFill="1" applyBorder="1" applyAlignment="1">
      <alignment horizontal="center" vertical="center" wrapText="1"/>
    </xf>
    <xf numFmtId="176" fontId="19" fillId="7" borderId="61" xfId="52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169" fontId="20" fillId="0" borderId="61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GNC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GNC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00" t="s">
        <v>0</v>
      </c>
      <c r="C2" s="300"/>
      <c r="D2" s="300"/>
      <c r="E2" s="3">
        <f>x!C8</f>
        <v>25</v>
      </c>
      <c r="G2" s="4"/>
    </row>
    <row r="3" ht="15.75">
      <c r="C3" s="5"/>
    </row>
    <row r="4" spans="2:13" ht="15.75">
      <c r="B4" s="294" t="s">
        <v>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2:13" ht="12.75">
      <c r="B5" s="299" t="s">
        <v>2</v>
      </c>
      <c r="C5" s="299"/>
      <c r="D5" s="299" t="s">
        <v>3</v>
      </c>
      <c r="E5" s="299"/>
      <c r="F5" s="299" t="s">
        <v>4</v>
      </c>
      <c r="G5" s="299"/>
      <c r="H5" s="299" t="s">
        <v>5</v>
      </c>
      <c r="I5" s="299"/>
      <c r="J5" s="299" t="s">
        <v>6</v>
      </c>
      <c r="K5" s="299"/>
      <c r="L5" s="299" t="s">
        <v>7</v>
      </c>
      <c r="M5" s="299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99" t="s">
        <v>2</v>
      </c>
      <c r="C14" s="299"/>
      <c r="D14" s="299" t="s">
        <v>12</v>
      </c>
      <c r="E14" s="299"/>
      <c r="F14" s="299" t="s">
        <v>13</v>
      </c>
      <c r="G14" s="299"/>
      <c r="H14" s="299" t="s">
        <v>14</v>
      </c>
      <c r="I14" s="299"/>
      <c r="J14" s="299" t="s">
        <v>15</v>
      </c>
      <c r="K14" s="299"/>
      <c r="L14" s="299" t="s">
        <v>16</v>
      </c>
      <c r="M14" s="299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94" t="s">
        <v>17</v>
      </c>
      <c r="C24" s="294"/>
      <c r="D24" s="294"/>
      <c r="E24" s="294"/>
    </row>
    <row r="25" spans="2:5" ht="12.75">
      <c r="B25" s="296" t="s">
        <v>2</v>
      </c>
      <c r="C25" s="296"/>
      <c r="D25" s="299" t="s">
        <v>18</v>
      </c>
      <c r="E25" s="299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94" t="s">
        <v>19</v>
      </c>
      <c r="C37" s="294"/>
      <c r="D37" s="294"/>
      <c r="E37" s="294"/>
    </row>
    <row r="38" spans="2:5" ht="12.75">
      <c r="B38" s="296" t="s">
        <v>2</v>
      </c>
      <c r="C38" s="296"/>
      <c r="D38" s="299" t="s">
        <v>18</v>
      </c>
      <c r="E38" s="299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94" t="s">
        <v>20</v>
      </c>
      <c r="C50" s="294"/>
      <c r="D50" s="294"/>
      <c r="E50" s="294"/>
      <c r="F50" s="294"/>
      <c r="G50" s="294"/>
    </row>
    <row r="51" spans="2:7" ht="12.75">
      <c r="B51" s="296" t="s">
        <v>2</v>
      </c>
      <c r="C51" s="296"/>
      <c r="D51" s="296" t="s">
        <v>21</v>
      </c>
      <c r="E51" s="296"/>
      <c r="F51" s="296" t="s">
        <v>22</v>
      </c>
      <c r="G51" s="296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94" t="s">
        <v>23</v>
      </c>
      <c r="C60" s="294"/>
      <c r="D60" s="294"/>
      <c r="E60" s="294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96" t="s">
        <v>2</v>
      </c>
      <c r="C62" s="296"/>
      <c r="D62" s="296" t="s">
        <v>26</v>
      </c>
      <c r="E62" s="296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94" t="s">
        <v>27</v>
      </c>
      <c r="C71" s="294"/>
      <c r="D71" s="294"/>
      <c r="E71" s="294"/>
    </row>
    <row r="72" spans="2:5" ht="12.75">
      <c r="B72" s="295" t="s">
        <v>2</v>
      </c>
      <c r="C72" s="295"/>
      <c r="D72" s="296"/>
      <c r="E72" s="296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94" t="s">
        <v>28</v>
      </c>
      <c r="C81" s="294"/>
      <c r="D81" s="294"/>
      <c r="E81" s="294"/>
    </row>
    <row r="82" spans="2:5" ht="12.75">
      <c r="B82" s="36" t="s">
        <v>29</v>
      </c>
      <c r="C82" s="297">
        <f>1000*E2</f>
        <v>25000</v>
      </c>
      <c r="D82" s="297"/>
      <c r="E82" s="37" t="s">
        <v>30</v>
      </c>
    </row>
    <row r="83" spans="2:5" ht="12.75">
      <c r="B83" s="38" t="s">
        <v>31</v>
      </c>
      <c r="C83" s="298">
        <f>2000*E2</f>
        <v>50000</v>
      </c>
      <c r="D83" s="298"/>
      <c r="E83" s="40" t="s">
        <v>30</v>
      </c>
    </row>
    <row r="84" spans="2:5" ht="12.75">
      <c r="B84" s="292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92"/>
      <c r="C85" s="43" t="s">
        <v>34</v>
      </c>
      <c r="D85" s="44">
        <f>2000*E2</f>
        <v>50000</v>
      </c>
      <c r="E85" s="14" t="s">
        <v>30</v>
      </c>
    </row>
    <row r="88" spans="2:27" ht="15.75">
      <c r="B88" s="293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93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9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93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01" t="s">
        <v>182</v>
      </c>
      <c r="C1" s="202"/>
      <c r="D1" s="202"/>
      <c r="F1" s="201" t="s">
        <v>346</v>
      </c>
    </row>
    <row r="2" ht="12.75">
      <c r="F2" s="201" t="s">
        <v>347</v>
      </c>
    </row>
    <row r="3" spans="2:7" ht="16.5">
      <c r="B3" s="307" t="s">
        <v>183</v>
      </c>
      <c r="C3" s="307"/>
      <c r="D3" s="307"/>
      <c r="E3" s="307"/>
      <c r="F3" s="203" t="s">
        <v>184</v>
      </c>
      <c r="G3" s="204">
        <v>78.57</v>
      </c>
    </row>
    <row r="4" spans="7:14" ht="12.75">
      <c r="G4" s="205"/>
      <c r="K4" s="206" t="s">
        <v>185</v>
      </c>
      <c r="L4" s="207" t="s">
        <v>186</v>
      </c>
      <c r="M4" s="207" t="s">
        <v>187</v>
      </c>
      <c r="N4" s="207" t="s">
        <v>188</v>
      </c>
    </row>
    <row r="5" spans="2:10" ht="12.75">
      <c r="B5" s="208" t="s">
        <v>189</v>
      </c>
      <c r="C5" s="209">
        <v>500000</v>
      </c>
      <c r="D5" s="207" t="s">
        <v>186</v>
      </c>
      <c r="E5" s="207" t="s">
        <v>187</v>
      </c>
      <c r="F5" s="210" t="s">
        <v>188</v>
      </c>
      <c r="G5" s="205" t="s">
        <v>190</v>
      </c>
      <c r="J5" s="211">
        <f>ROUND(9611*C8,0)</f>
        <v>240275</v>
      </c>
    </row>
    <row r="6" spans="2:19" ht="12.75">
      <c r="B6" s="208" t="s">
        <v>191</v>
      </c>
      <c r="C6" s="212">
        <f>5000*C8</f>
        <v>125000</v>
      </c>
      <c r="E6" s="213"/>
      <c r="G6" s="205" t="s">
        <v>192</v>
      </c>
      <c r="J6" s="214"/>
      <c r="S6" s="211"/>
    </row>
    <row r="7" spans="2:19" ht="12.75">
      <c r="B7" s="85" t="s">
        <v>193</v>
      </c>
      <c r="C7" s="215">
        <v>1</v>
      </c>
      <c r="E7" s="216"/>
      <c r="G7" s="205" t="s">
        <v>194</v>
      </c>
      <c r="J7" s="211">
        <f>ROUND(34320*C8,0)</f>
        <v>858000</v>
      </c>
      <c r="K7" s="202">
        <f>A13</f>
        <v>680950</v>
      </c>
      <c r="L7" s="217">
        <f>D13</f>
        <v>68095</v>
      </c>
      <c r="M7" s="217">
        <f>L7</f>
        <v>68095</v>
      </c>
      <c r="N7" s="217">
        <f>F13</f>
        <v>40860</v>
      </c>
      <c r="O7" s="105">
        <f>K7+L7+M7+N7</f>
        <v>858000</v>
      </c>
      <c r="S7" s="211"/>
    </row>
    <row r="8" spans="2:19" ht="12.75">
      <c r="B8" s="208" t="s">
        <v>195</v>
      </c>
      <c r="C8" s="218">
        <v>25</v>
      </c>
      <c r="E8" s="216"/>
      <c r="G8" s="205" t="s">
        <v>196</v>
      </c>
      <c r="J8" s="211">
        <f>J5</f>
        <v>240275</v>
      </c>
      <c r="S8" s="211"/>
    </row>
    <row r="9" spans="2:22" ht="12.75">
      <c r="B9" s="1" t="s">
        <v>197</v>
      </c>
      <c r="C9" s="219"/>
      <c r="E9" s="216"/>
      <c r="G9" s="205" t="s">
        <v>198</v>
      </c>
      <c r="J9" s="211">
        <f>ROUND(J5*1.4244,0)</f>
        <v>342248</v>
      </c>
      <c r="N9" s="85"/>
      <c r="S9" s="220"/>
      <c r="U9" s="91"/>
      <c r="V9" s="91"/>
    </row>
    <row r="10" spans="2:19" ht="12.75">
      <c r="B10" s="1" t="s">
        <v>199</v>
      </c>
      <c r="C10" s="221">
        <f>ROUND((C6*76)/10000,0)</f>
        <v>950</v>
      </c>
      <c r="E10" s="222"/>
      <c r="G10" s="205" t="s">
        <v>200</v>
      </c>
      <c r="J10" s="211">
        <f>ROUND(6540*C8,0)</f>
        <v>163500</v>
      </c>
      <c r="N10" s="85"/>
      <c r="S10" s="91"/>
    </row>
    <row r="11" spans="2:19" ht="12.75">
      <c r="B11" s="1" t="s">
        <v>201</v>
      </c>
      <c r="C11" s="211"/>
      <c r="E11" s="213"/>
      <c r="G11" s="205" t="s">
        <v>202</v>
      </c>
      <c r="J11" s="211">
        <f>ROUND(16343*C8,0)</f>
        <v>408575</v>
      </c>
      <c r="N11" s="85"/>
      <c r="S11" s="91"/>
    </row>
    <row r="12" spans="2:10" ht="12.75">
      <c r="B12" s="1" t="s">
        <v>203</v>
      </c>
      <c r="C12" s="211">
        <f>9120*C8</f>
        <v>228000</v>
      </c>
      <c r="E12" s="213"/>
      <c r="G12" s="205" t="s">
        <v>204</v>
      </c>
      <c r="J12" s="211">
        <f>ROUND(6863*C8,0)</f>
        <v>171575</v>
      </c>
    </row>
    <row r="13" spans="1:10" ht="12.75">
      <c r="A13" s="202">
        <v>680950</v>
      </c>
      <c r="B13" s="1" t="s">
        <v>205</v>
      </c>
      <c r="C13" s="211">
        <f>34320*C8</f>
        <v>858000</v>
      </c>
      <c r="D13" s="217">
        <v>68095</v>
      </c>
      <c r="E13" s="217">
        <v>68095</v>
      </c>
      <c r="F13" s="217">
        <v>40860</v>
      </c>
      <c r="G13" s="205" t="s">
        <v>206</v>
      </c>
      <c r="J13" s="211">
        <f>ROUND(8554*C8,0)</f>
        <v>213850</v>
      </c>
    </row>
    <row r="14" spans="1:17" ht="12.75">
      <c r="A14" s="202">
        <v>476764</v>
      </c>
      <c r="B14" s="1" t="s">
        <v>207</v>
      </c>
      <c r="C14" s="211">
        <f>ROUND(24029*C8,0)</f>
        <v>600725</v>
      </c>
      <c r="D14" s="217">
        <v>47676</v>
      </c>
      <c r="E14" s="217">
        <v>47676</v>
      </c>
      <c r="F14" s="217">
        <v>28609</v>
      </c>
      <c r="G14" s="205" t="s">
        <v>208</v>
      </c>
      <c r="J14" s="211">
        <f>C6</f>
        <v>125000</v>
      </c>
      <c r="N14" s="87"/>
      <c r="O14" s="87"/>
      <c r="P14" s="87"/>
      <c r="Q14" s="87"/>
    </row>
    <row r="15" spans="1:20" ht="12.75">
      <c r="A15" s="202">
        <v>544920</v>
      </c>
      <c r="B15" s="1" t="s">
        <v>209</v>
      </c>
      <c r="C15" s="211">
        <f>ROUND(27464*C8,0)</f>
        <v>686600</v>
      </c>
      <c r="D15" s="217">
        <v>54492</v>
      </c>
      <c r="E15" s="217">
        <v>54492</v>
      </c>
      <c r="F15" s="217">
        <v>32696</v>
      </c>
      <c r="G15" s="205" t="s">
        <v>210</v>
      </c>
      <c r="J15" s="211">
        <f>ROUND(720*C8,0)</f>
        <v>18000</v>
      </c>
      <c r="N15" s="83"/>
      <c r="O15" s="83"/>
      <c r="P15" s="223"/>
      <c r="Q15" s="83"/>
      <c r="R15" s="224"/>
      <c r="S15" s="225"/>
      <c r="T15" s="224"/>
    </row>
    <row r="16" spans="2:20" ht="12.75">
      <c r="B16" s="1" t="s">
        <v>211</v>
      </c>
      <c r="C16" s="211">
        <f>K57</f>
        <v>12000</v>
      </c>
      <c r="E16" s="213"/>
      <c r="G16" s="205" t="s">
        <v>212</v>
      </c>
      <c r="J16" s="211">
        <f>ROUND(26149*C8,0)</f>
        <v>653725</v>
      </c>
      <c r="K16" s="202">
        <v>544771</v>
      </c>
      <c r="L16" s="217">
        <v>54477</v>
      </c>
      <c r="M16" s="217">
        <v>54477</v>
      </c>
      <c r="N16" s="83">
        <f>K16+L16+M16</f>
        <v>653725</v>
      </c>
      <c r="O16" s="83"/>
      <c r="P16" s="223"/>
      <c r="Q16" s="83"/>
      <c r="R16" s="226"/>
      <c r="S16" s="225"/>
      <c r="T16" s="224"/>
    </row>
    <row r="17" spans="2:20" ht="12.75">
      <c r="B17" s="1" t="s">
        <v>213</v>
      </c>
      <c r="C17" s="211">
        <f>14000*C8</f>
        <v>350000</v>
      </c>
      <c r="D17" s="1" t="s">
        <v>214</v>
      </c>
      <c r="E17" s="213"/>
      <c r="G17" s="227" t="s">
        <v>215</v>
      </c>
      <c r="J17" s="211">
        <f>ROUND(16342.3*C8,0)</f>
        <v>408558</v>
      </c>
      <c r="N17" s="83"/>
      <c r="O17" s="83"/>
      <c r="P17" s="223"/>
      <c r="Q17" s="83"/>
      <c r="R17" s="226"/>
      <c r="S17" s="225"/>
      <c r="T17" s="224"/>
    </row>
    <row r="18" spans="2:20" ht="12.75">
      <c r="B18" s="1" t="s">
        <v>216</v>
      </c>
      <c r="C18" s="211">
        <f>10000*C8</f>
        <v>250000</v>
      </c>
      <c r="G18" s="228" t="s">
        <v>348</v>
      </c>
      <c r="H18" s="229"/>
      <c r="I18" s="229"/>
      <c r="J18" s="211">
        <f>ROUND(19223*C8,0)</f>
        <v>480575</v>
      </c>
      <c r="K18" s="230">
        <v>381410</v>
      </c>
      <c r="L18" s="230">
        <v>38141</v>
      </c>
      <c r="M18" s="230">
        <v>38141</v>
      </c>
      <c r="N18" s="231">
        <v>22883</v>
      </c>
      <c r="O18" s="83">
        <f>K18+L18+M18+N18</f>
        <v>480575</v>
      </c>
      <c r="P18" s="223"/>
      <c r="Q18" s="83"/>
      <c r="R18" s="226"/>
      <c r="S18" s="225"/>
      <c r="T18" s="224"/>
    </row>
    <row r="19" spans="2:20" ht="12.75">
      <c r="B19" s="1" t="s">
        <v>217</v>
      </c>
      <c r="C19" s="211">
        <f>16000*C8</f>
        <v>400000</v>
      </c>
      <c r="G19" s="205" t="s">
        <v>218</v>
      </c>
      <c r="I19" s="232" t="s">
        <v>219</v>
      </c>
      <c r="J19" s="233">
        <f>ROUND(16676*C8,0)</f>
        <v>416900</v>
      </c>
      <c r="K19" s="234"/>
      <c r="N19" s="83"/>
      <c r="O19" s="83"/>
      <c r="P19" s="223"/>
      <c r="Q19" s="83"/>
      <c r="R19" s="226"/>
      <c r="S19" s="225"/>
      <c r="T19" s="224"/>
    </row>
    <row r="20" spans="2:17" ht="12.75">
      <c r="B20" s="1" t="s">
        <v>220</v>
      </c>
      <c r="C20" s="211">
        <f>C5*0.36</f>
        <v>180000</v>
      </c>
      <c r="E20" s="213"/>
      <c r="G20" s="227" t="s">
        <v>221</v>
      </c>
      <c r="H20" s="235">
        <f>J20-J19</f>
        <v>416900</v>
      </c>
      <c r="I20" s="232" t="s">
        <v>219</v>
      </c>
      <c r="J20" s="236">
        <f>J19*2</f>
        <v>833800</v>
      </c>
      <c r="K20" s="237"/>
      <c r="N20" s="83"/>
      <c r="O20" s="83"/>
      <c r="P20" s="223"/>
      <c r="Q20" s="83"/>
    </row>
    <row r="21" spans="2:17" ht="12.75">
      <c r="B21" s="1" t="s">
        <v>222</v>
      </c>
      <c r="C21" s="211">
        <f>C5*0.08</f>
        <v>40000</v>
      </c>
      <c r="E21" s="213"/>
      <c r="G21" s="227" t="s">
        <v>221</v>
      </c>
      <c r="H21" s="235">
        <f>ROUND(10810.68*C8,0)</f>
        <v>270267</v>
      </c>
      <c r="I21" s="232" t="s">
        <v>219</v>
      </c>
      <c r="J21" s="236">
        <f>J20+H21</f>
        <v>1104067</v>
      </c>
      <c r="K21" s="237"/>
      <c r="O21" s="87"/>
      <c r="P21" s="223"/>
      <c r="Q21" s="238"/>
    </row>
    <row r="22" spans="2:11" ht="12.75">
      <c r="B22" s="1" t="s">
        <v>223</v>
      </c>
      <c r="C22" s="211">
        <f>ROUND(6934.5*C8,0)</f>
        <v>173363</v>
      </c>
      <c r="E22" s="213"/>
      <c r="G22" s="227" t="s">
        <v>221</v>
      </c>
      <c r="H22" s="235">
        <f>ROUND(22570.68*C8,0)</f>
        <v>564267</v>
      </c>
      <c r="I22" s="232" t="s">
        <v>219</v>
      </c>
      <c r="J22" s="236">
        <f>J21+H22</f>
        <v>1668334</v>
      </c>
      <c r="K22" s="237"/>
    </row>
    <row r="23" spans="2:11" ht="12.75">
      <c r="B23" s="1" t="s">
        <v>224</v>
      </c>
      <c r="C23" s="213"/>
      <c r="E23" s="213"/>
      <c r="G23" s="227" t="s">
        <v>221</v>
      </c>
      <c r="H23" s="235">
        <f>ROUND(16671.7*C8,0)</f>
        <v>416793</v>
      </c>
      <c r="I23" s="232" t="s">
        <v>219</v>
      </c>
      <c r="J23" s="236">
        <f>J22+H23</f>
        <v>2085127</v>
      </c>
      <c r="K23" s="239"/>
    </row>
    <row r="24" spans="2:12" ht="12.75">
      <c r="B24" s="1" t="s">
        <v>225</v>
      </c>
      <c r="C24" s="240">
        <v>476766</v>
      </c>
      <c r="E24" s="241"/>
      <c r="G24" s="205"/>
      <c r="H24" s="235"/>
      <c r="K24" s="1" t="s">
        <v>10</v>
      </c>
      <c r="L24" s="1" t="s">
        <v>226</v>
      </c>
    </row>
    <row r="25" spans="1:12" ht="12.75">
      <c r="A25" s="202">
        <v>381443</v>
      </c>
      <c r="B25" s="85" t="s">
        <v>349</v>
      </c>
      <c r="C25" s="211">
        <f>ROUND(19224.8*C8,0)</f>
        <v>480620</v>
      </c>
      <c r="D25" s="202">
        <v>38144</v>
      </c>
      <c r="E25" s="242">
        <v>38144</v>
      </c>
      <c r="F25" s="202">
        <v>22889</v>
      </c>
      <c r="G25" s="227" t="s">
        <v>227</v>
      </c>
      <c r="I25" s="232" t="s">
        <v>228</v>
      </c>
      <c r="J25" s="243">
        <f>125000*C8</f>
        <v>3125000</v>
      </c>
      <c r="K25" s="1">
        <v>2</v>
      </c>
      <c r="L25" s="243">
        <f>J25*K25%</f>
        <v>62500</v>
      </c>
    </row>
    <row r="26" spans="3:12" ht="12.75">
      <c r="C26" s="213"/>
      <c r="E26" s="213"/>
      <c r="G26" s="205"/>
      <c r="I26" s="232" t="s">
        <v>219</v>
      </c>
      <c r="J26" s="243">
        <f>500000*C8</f>
        <v>12500000</v>
      </c>
      <c r="K26" s="1">
        <v>1.5</v>
      </c>
      <c r="L26" s="243">
        <f>ROUNDDOWN((J26-J25)*K26%+L25,0)</f>
        <v>203125</v>
      </c>
    </row>
    <row r="27" spans="2:12" ht="12.75">
      <c r="B27" s="1" t="s">
        <v>229</v>
      </c>
      <c r="C27" s="244"/>
      <c r="E27" s="213"/>
      <c r="G27" s="205"/>
      <c r="I27" s="232" t="s">
        <v>219</v>
      </c>
      <c r="J27" s="243">
        <f>1000000*C8</f>
        <v>25000000</v>
      </c>
      <c r="K27" s="1">
        <v>1</v>
      </c>
      <c r="L27" s="243">
        <f>(J27-J26)*K27%+L26</f>
        <v>328125</v>
      </c>
    </row>
    <row r="28" spans="7:12" ht="12.75">
      <c r="G28" s="205"/>
      <c r="I28" s="232" t="s">
        <v>219</v>
      </c>
      <c r="J28" s="243">
        <f>2000000*C8</f>
        <v>50000000</v>
      </c>
      <c r="K28" s="1">
        <v>0.6</v>
      </c>
      <c r="L28" s="243">
        <f>(J28-J27)*K28%+L27</f>
        <v>478125</v>
      </c>
    </row>
    <row r="29" spans="7:12" ht="12.75">
      <c r="G29" s="205"/>
      <c r="I29" s="232" t="s">
        <v>219</v>
      </c>
      <c r="J29" s="243">
        <f>4000000*C8</f>
        <v>100000000</v>
      </c>
      <c r="K29" s="1">
        <v>0.4</v>
      </c>
      <c r="L29" s="243">
        <f>(J29-J28)*K29%+L28</f>
        <v>678125</v>
      </c>
    </row>
    <row r="30" spans="7:12" ht="12.75">
      <c r="G30" s="205"/>
      <c r="I30" s="232" t="s">
        <v>219</v>
      </c>
      <c r="J30" s="243">
        <f>7500000*C8</f>
        <v>187500000</v>
      </c>
      <c r="K30" s="1">
        <v>0.2</v>
      </c>
      <c r="L30" s="243">
        <f>(J30-J29)*K30%+L29</f>
        <v>853125</v>
      </c>
    </row>
    <row r="31" spans="2:11" ht="12.75">
      <c r="B31" s="1" t="s">
        <v>230</v>
      </c>
      <c r="G31" s="205"/>
      <c r="I31" s="1" t="s">
        <v>8</v>
      </c>
      <c r="K31" s="1">
        <v>0.1</v>
      </c>
    </row>
    <row r="32" spans="2:10" ht="12.75" customHeight="1">
      <c r="B32" s="1" t="s">
        <v>8</v>
      </c>
      <c r="G32" s="227" t="s">
        <v>231</v>
      </c>
      <c r="I32" s="245">
        <f>37310*(C8/0.36)</f>
        <v>2590972.222222222</v>
      </c>
      <c r="J32" s="308"/>
    </row>
    <row r="33" spans="2:10" ht="12.75">
      <c r="B33" s="243">
        <f>200000*C8</f>
        <v>5000000</v>
      </c>
      <c r="I33" s="245">
        <f>55972*(C8/0.36)</f>
        <v>3886944.4444444445</v>
      </c>
      <c r="J33" s="309"/>
    </row>
    <row r="34" spans="2:10" ht="12.75">
      <c r="B34" s="243">
        <f>(1000000-200000)*C8</f>
        <v>20000000</v>
      </c>
      <c r="I34" s="245">
        <f>93286*(C8/0.36)</f>
        <v>6478194.444444444</v>
      </c>
      <c r="J34" s="309"/>
    </row>
    <row r="35" spans="2:10" ht="12.75">
      <c r="B35" s="243">
        <f>(2000000-1000000)*C8</f>
        <v>25000000</v>
      </c>
      <c r="I35" s="245">
        <f>186580*(C8/0.36)</f>
        <v>12956944.444444444</v>
      </c>
      <c r="J35" s="309"/>
    </row>
    <row r="36" spans="2:10" ht="12.75">
      <c r="B36" s="243">
        <f>(5000000-2000000)*C8</f>
        <v>75000000</v>
      </c>
      <c r="I36" s="245">
        <f>558090*(C8/0.36)</f>
        <v>38756250</v>
      </c>
      <c r="J36" s="309"/>
    </row>
    <row r="37" spans="9:10" ht="12.75">
      <c r="I37" s="245">
        <f>931215*(C8/0.36)</f>
        <v>64667708.33333333</v>
      </c>
      <c r="J37" s="309"/>
    </row>
    <row r="38" spans="2:10" ht="12.75">
      <c r="B38" s="1" t="s">
        <v>232</v>
      </c>
      <c r="I38" s="245">
        <f>1868989*(C8/0.36)</f>
        <v>129790902.77777778</v>
      </c>
      <c r="J38" s="309"/>
    </row>
    <row r="39" spans="2:10" ht="12.75">
      <c r="B39" s="1" t="s">
        <v>8</v>
      </c>
      <c r="I39" s="245">
        <f>3718378*(C8/0.36)</f>
        <v>258220694.44444445</v>
      </c>
      <c r="J39" s="309"/>
    </row>
    <row r="40" spans="2:10" ht="12.75">
      <c r="B40" s="243">
        <f>200000*C8</f>
        <v>5000000</v>
      </c>
      <c r="I40" s="245">
        <f>7449822*(C8/0.36)</f>
        <v>517348750</v>
      </c>
      <c r="J40" s="309"/>
    </row>
    <row r="41" spans="2:10" ht="12.75">
      <c r="B41" s="243">
        <f>(1000000-200000)*C8</f>
        <v>20000000</v>
      </c>
      <c r="I41" s="245">
        <f>14899636*(C8/0.36)</f>
        <v>1034696944.4444444</v>
      </c>
      <c r="J41" s="309"/>
    </row>
    <row r="42" spans="2:10" ht="12.75">
      <c r="B42" s="243">
        <f>(2000000-1000000)*C8</f>
        <v>25000000</v>
      </c>
      <c r="I42" s="245">
        <f>29799278*(C8/0.36)</f>
        <v>2069394305.5555556</v>
      </c>
      <c r="J42" s="309"/>
    </row>
    <row r="43" spans="2:10" ht="12.75">
      <c r="B43" s="243">
        <f>(5000000-2000000)*C8</f>
        <v>75000000</v>
      </c>
      <c r="I43" s="245">
        <f>59598560*(C8/0.36)</f>
        <v>4138788888.888889</v>
      </c>
      <c r="J43" s="309"/>
    </row>
    <row r="44" spans="6:10" ht="12.75">
      <c r="F44" s="311" t="s">
        <v>233</v>
      </c>
      <c r="G44" s="312"/>
      <c r="I44" s="245">
        <f>119197121*(C8/0.36)</f>
        <v>8277577847.222222</v>
      </c>
      <c r="J44" s="309"/>
    </row>
    <row r="45" spans="6:10" ht="12.75">
      <c r="F45" s="313"/>
      <c r="G45" s="314"/>
      <c r="I45" s="245">
        <f>238394228*(C8/0.36)</f>
        <v>16555154722.222221</v>
      </c>
      <c r="J45" s="309"/>
    </row>
    <row r="46" spans="2:10" ht="12.75">
      <c r="B46" s="85" t="s">
        <v>234</v>
      </c>
      <c r="C46" s="246">
        <v>1</v>
      </c>
      <c r="F46" s="247">
        <f>C48</f>
        <v>203958</v>
      </c>
      <c r="G46" s="248">
        <f>F46</f>
        <v>203958</v>
      </c>
      <c r="I46" s="245">
        <f>476788468*(C8/0.36)</f>
        <v>33110310277.77778</v>
      </c>
      <c r="J46" s="310"/>
    </row>
    <row r="47" spans="2:7" ht="12.75">
      <c r="B47" s="85" t="s">
        <v>235</v>
      </c>
      <c r="C47" s="213">
        <f>ROUND(6540*C8,0)</f>
        <v>163500</v>
      </c>
      <c r="D47" s="315"/>
      <c r="F47" s="249">
        <f>(C51*E51%)/10</f>
        <v>24700.000000000004</v>
      </c>
      <c r="G47" s="250">
        <f>G46+F47</f>
        <v>228658</v>
      </c>
    </row>
    <row r="48" spans="2:7" ht="12.75">
      <c r="B48" s="85" t="s">
        <v>236</v>
      </c>
      <c r="C48" s="213">
        <f>ROUND(8158.3*C8,0)</f>
        <v>203958</v>
      </c>
      <c r="D48" s="316"/>
      <c r="F48" s="251">
        <f>(C52*E52%)/10</f>
        <v>48000</v>
      </c>
      <c r="G48" s="252">
        <f>G47+F48</f>
        <v>276658</v>
      </c>
    </row>
    <row r="49" ht="12.75">
      <c r="E49" s="84" t="s">
        <v>237</v>
      </c>
    </row>
    <row r="50" spans="2:10" ht="12.75">
      <c r="B50" s="317" t="s">
        <v>238</v>
      </c>
      <c r="C50" s="253">
        <v>1000000</v>
      </c>
      <c r="D50" s="254">
        <f>C50</f>
        <v>1000000</v>
      </c>
      <c r="E50" s="255"/>
      <c r="F50" s="254">
        <f>C47</f>
        <v>163500</v>
      </c>
      <c r="G50" s="256">
        <f>F50</f>
        <v>163500</v>
      </c>
      <c r="I50" s="85" t="s">
        <v>239</v>
      </c>
      <c r="J50" s="245">
        <f>ROUND(7500*C8,0)</f>
        <v>187500</v>
      </c>
    </row>
    <row r="51" spans="2:10" ht="12.75">
      <c r="B51" s="318"/>
      <c r="C51" s="249">
        <f>D51-D50</f>
        <v>19000000</v>
      </c>
      <c r="D51" s="257">
        <v>20000000</v>
      </c>
      <c r="E51" s="87">
        <v>1.3</v>
      </c>
      <c r="F51" s="258">
        <f>(C51*E51%)/10</f>
        <v>24700.000000000004</v>
      </c>
      <c r="G51" s="259">
        <f>G50+F51</f>
        <v>188200</v>
      </c>
      <c r="J51" s="245">
        <f>ROUND(12500*C8,0)</f>
        <v>312500</v>
      </c>
    </row>
    <row r="52" spans="2:10" ht="12.75">
      <c r="B52" s="313"/>
      <c r="C52" s="249">
        <f>D52-D51</f>
        <v>80000000</v>
      </c>
      <c r="D52" s="257">
        <v>100000000</v>
      </c>
      <c r="E52" s="87">
        <v>0.6</v>
      </c>
      <c r="F52" s="258">
        <f>(C52*E52%)/10</f>
        <v>48000</v>
      </c>
      <c r="G52" s="259">
        <f>G51+F52</f>
        <v>236200</v>
      </c>
      <c r="J52" s="245">
        <f>ROUND(18750*C8,0)</f>
        <v>468750</v>
      </c>
    </row>
    <row r="53" spans="3:7" ht="12.75">
      <c r="C53" s="260"/>
      <c r="D53" s="229"/>
      <c r="E53" s="261">
        <v>0.3</v>
      </c>
      <c r="F53" s="229"/>
      <c r="G53" s="262"/>
    </row>
    <row r="54" spans="5:13" ht="12.75">
      <c r="E54" s="86" t="s">
        <v>10</v>
      </c>
      <c r="L54" s="85"/>
      <c r="M54" s="85"/>
    </row>
    <row r="55" spans="2:13" ht="12.75">
      <c r="B55" s="301" t="s">
        <v>240</v>
      </c>
      <c r="C55" s="257">
        <v>120000</v>
      </c>
      <c r="D55" s="258">
        <f>C55</f>
        <v>120000</v>
      </c>
      <c r="E55" s="87"/>
      <c r="F55" s="258">
        <f>F50</f>
        <v>163500</v>
      </c>
      <c r="G55" s="258">
        <f>F55</f>
        <v>163500</v>
      </c>
      <c r="I55" s="85" t="s">
        <v>241</v>
      </c>
      <c r="L55" s="85"/>
      <c r="M55" s="85"/>
    </row>
    <row r="56" spans="2:14" ht="25.5">
      <c r="B56" s="302"/>
      <c r="C56" s="258">
        <f>D56-D55</f>
        <v>380000</v>
      </c>
      <c r="D56" s="257">
        <v>500000</v>
      </c>
      <c r="E56" s="87">
        <v>0.5</v>
      </c>
      <c r="F56" s="258">
        <f>C56*E56%</f>
        <v>1900</v>
      </c>
      <c r="G56" s="258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302"/>
      <c r="C57" s="258">
        <f>D57-D56</f>
        <v>500000</v>
      </c>
      <c r="D57" s="257">
        <v>1000000</v>
      </c>
      <c r="E57" s="87">
        <v>0.4</v>
      </c>
      <c r="F57" s="258">
        <f>C57*E57%</f>
        <v>2000</v>
      </c>
      <c r="G57" s="258">
        <f>G56+F57</f>
        <v>167400</v>
      </c>
      <c r="J57" s="85" t="s">
        <v>245</v>
      </c>
      <c r="K57" s="263">
        <v>12000</v>
      </c>
      <c r="L57" s="264">
        <f>477.647058823529*C8</f>
        <v>11941.176470588225</v>
      </c>
    </row>
    <row r="58" spans="2:18" ht="14.25">
      <c r="B58" s="302"/>
      <c r="C58" s="258">
        <f>D58-D57</f>
        <v>1000000</v>
      </c>
      <c r="D58" s="257">
        <v>2000000</v>
      </c>
      <c r="E58" s="87">
        <v>0.3</v>
      </c>
      <c r="F58" s="258">
        <f>C58*E58%</f>
        <v>3000</v>
      </c>
      <c r="G58" s="258">
        <f>G57+F58</f>
        <v>170400</v>
      </c>
      <c r="I58" s="1">
        <v>176</v>
      </c>
      <c r="J58" s="85" t="s">
        <v>246</v>
      </c>
      <c r="K58" s="263">
        <f>ROUNDDOWN((88235.2941176471*C8),0)</f>
        <v>2205882</v>
      </c>
      <c r="L58" s="264">
        <f>88235.2941176471*C8</f>
        <v>2205882.352941178</v>
      </c>
      <c r="M58" s="265"/>
      <c r="N58" s="85"/>
      <c r="P58" s="265"/>
      <c r="R58" s="265"/>
    </row>
    <row r="59" spans="2:18" ht="14.25">
      <c r="B59" s="303"/>
      <c r="C59" s="258">
        <f>D59-D58</f>
        <v>2000000</v>
      </c>
      <c r="D59" s="257">
        <v>4000000</v>
      </c>
      <c r="E59" s="87">
        <v>0.2</v>
      </c>
      <c r="F59" s="258">
        <f>C59*E59%</f>
        <v>4000</v>
      </c>
      <c r="G59" s="258">
        <f>G58+F59</f>
        <v>174400</v>
      </c>
      <c r="I59" s="1">
        <v>176</v>
      </c>
      <c r="J59" s="85" t="s">
        <v>247</v>
      </c>
      <c r="K59" s="263">
        <f>ROUNDDOWN((102941.176470588*C8),0)</f>
        <v>2573529</v>
      </c>
      <c r="L59" s="264">
        <f>102941.176470588*C8</f>
        <v>2573529.4117647</v>
      </c>
      <c r="M59" s="265"/>
      <c r="N59" s="85"/>
      <c r="P59" s="265"/>
      <c r="R59" s="265"/>
    </row>
    <row r="60" spans="2:18" ht="14.25">
      <c r="B60" s="266"/>
      <c r="C60" s="258"/>
      <c r="D60" s="258"/>
      <c r="E60" s="87">
        <v>0.1</v>
      </c>
      <c r="F60" s="258"/>
      <c r="G60" s="258"/>
      <c r="I60" s="1">
        <v>176</v>
      </c>
      <c r="J60" s="85" t="s">
        <v>248</v>
      </c>
      <c r="K60" s="263">
        <f>ROUNDUP((117647.058823529*C8),0)</f>
        <v>2941177</v>
      </c>
      <c r="L60" s="264">
        <f>117647.058823529*C8</f>
        <v>2941176.470588225</v>
      </c>
      <c r="M60" s="265"/>
      <c r="N60" s="85"/>
      <c r="P60" s="265"/>
      <c r="R60" s="265"/>
    </row>
    <row r="61" spans="2:18" ht="14.25">
      <c r="B61" s="267" t="s">
        <v>249</v>
      </c>
      <c r="E61" s="267" t="s">
        <v>250</v>
      </c>
      <c r="F61" s="213"/>
      <c r="I61" s="1">
        <v>176</v>
      </c>
      <c r="J61" s="85" t="s">
        <v>251</v>
      </c>
      <c r="K61" s="263">
        <f>ROUNDUP((147058.823529412*C8),0)</f>
        <v>3676471</v>
      </c>
      <c r="L61" s="264">
        <f>147058.823529412*C8</f>
        <v>3676470.5882353</v>
      </c>
      <c r="M61" s="265"/>
      <c r="N61" s="85"/>
      <c r="P61" s="265"/>
      <c r="R61" s="265"/>
    </row>
    <row r="62" spans="2:18" ht="14.25">
      <c r="B62" s="268" t="s">
        <v>252</v>
      </c>
      <c r="C62" s="213">
        <f>C47</f>
        <v>163500</v>
      </c>
      <c r="E62" s="268" t="s">
        <v>252</v>
      </c>
      <c r="F62" s="213">
        <f>C48</f>
        <v>203958</v>
      </c>
      <c r="I62" s="1">
        <v>176</v>
      </c>
      <c r="J62" s="85" t="s">
        <v>253</v>
      </c>
      <c r="K62" s="263">
        <f>ROUNDUP((161764.705882353*C8),0)</f>
        <v>4044118</v>
      </c>
      <c r="L62" s="264">
        <f>161764.705882353*C8</f>
        <v>4044117.647058825</v>
      </c>
      <c r="M62" s="265"/>
      <c r="N62" s="85"/>
      <c r="P62" s="265"/>
      <c r="R62" s="265"/>
    </row>
    <row r="63" spans="2:18" ht="14.25">
      <c r="B63" s="268" t="s">
        <v>350</v>
      </c>
      <c r="C63" s="213">
        <f>ROUND(C62*1.5,0)</f>
        <v>245250</v>
      </c>
      <c r="E63" s="268" t="s">
        <v>350</v>
      </c>
      <c r="F63" s="213">
        <f>ROUND(F62*1.5,0)</f>
        <v>305937</v>
      </c>
      <c r="I63" s="1">
        <v>176</v>
      </c>
      <c r="J63" s="85" t="s">
        <v>254</v>
      </c>
      <c r="K63" s="263">
        <f>ROUNDUP((176470.588235294*C8),0)</f>
        <v>4411765</v>
      </c>
      <c r="L63" s="264">
        <f>176470.588235294*C8</f>
        <v>4411764.70588235</v>
      </c>
      <c r="M63" s="265"/>
      <c r="N63" s="85"/>
      <c r="P63" s="265"/>
      <c r="R63" s="265"/>
    </row>
    <row r="64" spans="2:18" ht="14.25">
      <c r="B64" s="268" t="s">
        <v>351</v>
      </c>
      <c r="C64" s="213">
        <f>ROUND(C63*1.2,0)</f>
        <v>294300</v>
      </c>
      <c r="E64" s="268" t="s">
        <v>351</v>
      </c>
      <c r="F64" s="213">
        <f>ROUND(F63*1.2,0)+1</f>
        <v>367125</v>
      </c>
      <c r="I64" s="1">
        <v>176</v>
      </c>
      <c r="J64" s="85" t="s">
        <v>255</v>
      </c>
      <c r="K64" s="263">
        <f>ROUNDUP((191176.470588235*C8),0)</f>
        <v>4779412</v>
      </c>
      <c r="L64" s="264">
        <f>191176.470588235*C8</f>
        <v>4779411.764705875</v>
      </c>
      <c r="M64" s="265"/>
      <c r="N64" s="85"/>
      <c r="P64" s="265"/>
      <c r="R64" s="265"/>
    </row>
    <row r="65" spans="2:18" ht="14.25">
      <c r="B65" s="268" t="s">
        <v>352</v>
      </c>
      <c r="C65" s="213">
        <f>ROUND(C64*1.2,0)</f>
        <v>353160</v>
      </c>
      <c r="E65" s="268" t="s">
        <v>352</v>
      </c>
      <c r="F65" s="213">
        <f>ROUND(F64*1.2,0)</f>
        <v>440550</v>
      </c>
      <c r="I65" s="1">
        <v>176</v>
      </c>
      <c r="J65" s="85" t="s">
        <v>256</v>
      </c>
      <c r="K65" s="263">
        <f>ROUNDUP((205882.352941176*C8),0)</f>
        <v>5147059</v>
      </c>
      <c r="L65" s="264">
        <f>205882.352941176*C8</f>
        <v>5147058.8235294</v>
      </c>
      <c r="M65" s="265"/>
      <c r="N65" s="85"/>
      <c r="P65" s="265"/>
      <c r="R65" s="265"/>
    </row>
    <row r="66" spans="2:18" ht="14.25">
      <c r="B66" s="268" t="s">
        <v>353</v>
      </c>
      <c r="C66" s="213">
        <f>ROUND(C65*1.2,0)</f>
        <v>423792</v>
      </c>
      <c r="E66" s="268" t="s">
        <v>353</v>
      </c>
      <c r="F66" s="213">
        <f>ROUND(F65*1.2,0)</f>
        <v>528660</v>
      </c>
      <c r="I66" s="1">
        <v>176</v>
      </c>
      <c r="J66" s="85" t="s">
        <v>257</v>
      </c>
      <c r="K66" s="263">
        <f>ROUNDUP((220588.235294118*C8),0)</f>
        <v>5514706</v>
      </c>
      <c r="L66" s="264">
        <f>220588.235294118*C8</f>
        <v>5514705.88235295</v>
      </c>
      <c r="M66" s="265"/>
      <c r="N66" s="85"/>
      <c r="P66" s="265"/>
      <c r="R66" s="265"/>
    </row>
    <row r="67" spans="2:18" ht="14.25">
      <c r="B67" s="268" t="s">
        <v>354</v>
      </c>
      <c r="C67" s="213">
        <f>ROUND(C66*1.15,0)</f>
        <v>487361</v>
      </c>
      <c r="E67" s="268" t="s">
        <v>354</v>
      </c>
      <c r="F67" s="213">
        <f>ROUND(F66*1.15,0)</f>
        <v>607959</v>
      </c>
      <c r="I67" s="1">
        <v>176</v>
      </c>
      <c r="J67" s="85" t="s">
        <v>258</v>
      </c>
      <c r="K67" s="263">
        <f>ROUNDUP((235294.117647059*C8),0)</f>
        <v>5882353</v>
      </c>
      <c r="L67" s="264">
        <f>235294.117647059*C8</f>
        <v>5882352.941176475</v>
      </c>
      <c r="M67" s="265"/>
      <c r="N67" s="85"/>
      <c r="P67" s="265"/>
      <c r="R67" s="265"/>
    </row>
    <row r="68" spans="2:18" ht="14.25">
      <c r="B68" s="268" t="s">
        <v>355</v>
      </c>
      <c r="C68" s="213">
        <f>ROUND(C67*1.1,0)</f>
        <v>536097</v>
      </c>
      <c r="E68" s="268" t="s">
        <v>355</v>
      </c>
      <c r="F68" s="213">
        <f>ROUND(F67*1.1,0)</f>
        <v>668755</v>
      </c>
      <c r="I68" s="1">
        <v>176</v>
      </c>
      <c r="J68" s="85" t="s">
        <v>259</v>
      </c>
      <c r="K68" s="263">
        <f>ROUNDUP((247058.823529412*C8),0)</f>
        <v>6176471</v>
      </c>
      <c r="L68" s="264">
        <f>247058.823529412*C8</f>
        <v>6176470.5882353</v>
      </c>
      <c r="M68" s="265"/>
      <c r="N68" s="85"/>
      <c r="P68" s="265"/>
      <c r="R68" s="265"/>
    </row>
    <row r="69" spans="2:18" ht="14.25">
      <c r="B69" s="268" t="s">
        <v>356</v>
      </c>
      <c r="C69" s="213">
        <f>ROUND(C68*1.05,0)</f>
        <v>562902</v>
      </c>
      <c r="E69" s="268" t="s">
        <v>356</v>
      </c>
      <c r="F69" s="213">
        <f>ROUND(F68*1.05,0)-1</f>
        <v>702192</v>
      </c>
      <c r="I69" s="1">
        <v>176</v>
      </c>
      <c r="J69" s="85" t="s">
        <v>260</v>
      </c>
      <c r="K69" s="263">
        <f>ROUNDDOWN((258823.529411765*C8),0)</f>
        <v>6470588</v>
      </c>
      <c r="L69" s="264">
        <f>258823.529411765*C8</f>
        <v>6470588.235294125</v>
      </c>
      <c r="M69" s="265"/>
      <c r="N69" s="85"/>
      <c r="P69" s="265"/>
      <c r="R69" s="265"/>
    </row>
    <row r="70" spans="2:18" ht="14.25">
      <c r="B70" s="268" t="s">
        <v>357</v>
      </c>
      <c r="C70" s="213">
        <f>ROUND(C69*1.05,0)</f>
        <v>591047</v>
      </c>
      <c r="E70" s="268" t="s">
        <v>357</v>
      </c>
      <c r="F70" s="213">
        <f>ROUND(F69*1.05,0)</f>
        <v>737302</v>
      </c>
      <c r="I70" s="1">
        <v>176</v>
      </c>
      <c r="J70" s="85" t="s">
        <v>261</v>
      </c>
      <c r="K70" s="263">
        <f>ROUNDDOWN((294117.647058824*C8),0)</f>
        <v>7352941</v>
      </c>
      <c r="L70" s="264">
        <f>294117.647058824*C8</f>
        <v>7352941.1764706</v>
      </c>
      <c r="M70" s="265"/>
      <c r="N70" s="85"/>
      <c r="P70" s="265"/>
      <c r="R70" s="265"/>
    </row>
    <row r="71" spans="2:6" ht="12.75">
      <c r="B71" s="268" t="s">
        <v>262</v>
      </c>
      <c r="C71" s="213">
        <f>ROUND(C70*1.05,0)</f>
        <v>620599</v>
      </c>
      <c r="E71" s="268" t="s">
        <v>262</v>
      </c>
      <c r="F71" s="213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269">
        <f aca="true" t="shared" si="0" ref="L74:L79">477.647058823529*$C$8</f>
        <v>11941.176470588225</v>
      </c>
      <c r="M74" s="270">
        <v>12000</v>
      </c>
      <c r="N74" s="235">
        <f>K74*M74</f>
        <v>162000</v>
      </c>
      <c r="O74" s="86">
        <v>1</v>
      </c>
      <c r="P74" s="271">
        <v>1</v>
      </c>
      <c r="Q74" s="272">
        <v>15</v>
      </c>
      <c r="R74" s="273">
        <f>ROUNDDOWN(N74*80%,0)</f>
        <v>129600</v>
      </c>
      <c r="S74" s="235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269">
        <f t="shared" si="0"/>
        <v>11941.176470588225</v>
      </c>
      <c r="M75" s="270">
        <v>12000</v>
      </c>
      <c r="N75" s="235">
        <f>K75*M75</f>
        <v>270000</v>
      </c>
      <c r="O75" s="86">
        <v>1</v>
      </c>
      <c r="P75" s="274">
        <v>16</v>
      </c>
      <c r="Q75" s="275">
        <v>50</v>
      </c>
      <c r="R75" s="273">
        <f>ROUNDUP(N75*78%,0)</f>
        <v>210600</v>
      </c>
      <c r="S75" s="235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269">
        <f t="shared" si="0"/>
        <v>11941.176470588225</v>
      </c>
      <c r="M76" s="270">
        <v>12000</v>
      </c>
      <c r="N76" s="235">
        <f aca="true" t="shared" si="1" ref="N76:N90">K76*M76</f>
        <v>540000</v>
      </c>
      <c r="O76" s="86">
        <v>1</v>
      </c>
      <c r="P76" s="274">
        <v>51</v>
      </c>
      <c r="Q76" s="275">
        <v>100</v>
      </c>
      <c r="R76" s="273">
        <f>ROUNDUP(N76*76%,0)</f>
        <v>410400</v>
      </c>
      <c r="S76" s="235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269">
        <f t="shared" si="0"/>
        <v>11941.176470588225</v>
      </c>
      <c r="M77" s="270">
        <v>12000</v>
      </c>
      <c r="N77" s="235">
        <f t="shared" si="1"/>
        <v>810000</v>
      </c>
      <c r="O77" s="86">
        <v>1</v>
      </c>
      <c r="P77" s="274">
        <v>101</v>
      </c>
      <c r="Q77" s="275">
        <v>150</v>
      </c>
      <c r="R77" s="273">
        <f>ROUNDUP(N77*74%,0)</f>
        <v>599400</v>
      </c>
      <c r="S77" s="235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269">
        <f t="shared" si="0"/>
        <v>11941.176470588225</v>
      </c>
      <c r="M78" s="270">
        <v>12000</v>
      </c>
      <c r="N78" s="235">
        <f t="shared" si="1"/>
        <v>1620000</v>
      </c>
      <c r="O78" s="86">
        <v>1</v>
      </c>
      <c r="P78" s="276">
        <v>151</v>
      </c>
      <c r="Q78" s="277">
        <v>200</v>
      </c>
      <c r="R78" s="273">
        <f>ROUNDUP(N78*72%,0)</f>
        <v>1166400</v>
      </c>
      <c r="S78" s="235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269">
        <f t="shared" si="0"/>
        <v>11941.176470588225</v>
      </c>
      <c r="M79" s="270">
        <v>12000</v>
      </c>
      <c r="N79" s="235">
        <f t="shared" si="1"/>
        <v>2112000</v>
      </c>
      <c r="O79" s="86">
        <v>1</v>
      </c>
      <c r="P79" s="278">
        <v>201</v>
      </c>
      <c r="Q79" s="279">
        <v>300</v>
      </c>
      <c r="R79" s="273">
        <f>ROUNDUP(N79*70%,0)</f>
        <v>1478400</v>
      </c>
      <c r="S79" s="235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280">
        <f>581.851345189239*$C$8</f>
        <v>14546.283629730977</v>
      </c>
      <c r="M80" s="270">
        <v>14550</v>
      </c>
      <c r="N80" s="235">
        <f t="shared" si="1"/>
        <v>2793600</v>
      </c>
      <c r="O80" s="281">
        <f>Q80/P80</f>
        <v>1.3289036544850499</v>
      </c>
      <c r="P80" s="282">
        <v>301</v>
      </c>
      <c r="Q80" s="283">
        <v>400</v>
      </c>
      <c r="R80" s="273">
        <f>ROUNDUP(N80*68%,0)</f>
        <v>1899648</v>
      </c>
      <c r="S80" s="235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280">
        <f>725.500430410522*$C$8</f>
        <v>18137.51076026305</v>
      </c>
      <c r="M81" s="270">
        <v>18140</v>
      </c>
      <c r="N81" s="235">
        <f t="shared" si="1"/>
        <v>3482880</v>
      </c>
      <c r="O81" s="284">
        <f aca="true" t="shared" si="2" ref="O81:O90">Q81/P81</f>
        <v>1.2468827930174564</v>
      </c>
      <c r="P81" s="276">
        <v>401</v>
      </c>
      <c r="Q81" s="277">
        <v>500</v>
      </c>
      <c r="R81" s="273">
        <f>ROUNDUP(N81*66%,0)</f>
        <v>2298701</v>
      </c>
      <c r="S81" s="235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280">
        <f>868.862790910805*$C$8</f>
        <v>21721.569772770123</v>
      </c>
      <c r="M82" s="270">
        <v>21722</v>
      </c>
      <c r="N82" s="235">
        <f t="shared" si="1"/>
        <v>4170624</v>
      </c>
      <c r="O82" s="284">
        <f t="shared" si="2"/>
        <v>1.1976047904191616</v>
      </c>
      <c r="P82" s="276">
        <v>501</v>
      </c>
      <c r="Q82" s="277">
        <v>600</v>
      </c>
      <c r="R82" s="273">
        <f>ROUNDDOWN(N82*64%,0)</f>
        <v>2669199</v>
      </c>
      <c r="S82" s="235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280">
        <f>1011.98661170976*$C$8</f>
        <v>25299.665292744</v>
      </c>
      <c r="M83" s="270">
        <v>25300</v>
      </c>
      <c r="N83" s="235">
        <f t="shared" si="1"/>
        <v>4857600</v>
      </c>
      <c r="O83" s="284">
        <f t="shared" si="2"/>
        <v>1.1647254575707155</v>
      </c>
      <c r="P83" s="276">
        <v>601</v>
      </c>
      <c r="Q83" s="277">
        <v>700</v>
      </c>
      <c r="R83" s="273">
        <f>ROUNDUP(N83*62%,0)</f>
        <v>3011712</v>
      </c>
      <c r="S83" s="235">
        <f>N83*62%</f>
        <v>3011712</v>
      </c>
    </row>
    <row r="84" spans="10:19" ht="14.25">
      <c r="J84" s="85" t="s">
        <v>278</v>
      </c>
      <c r="K84" s="1">
        <v>192</v>
      </c>
      <c r="L84" s="280">
        <f>1154.90626158032*$C$8</f>
        <v>28872.656539508</v>
      </c>
      <c r="M84" s="270">
        <v>28873</v>
      </c>
      <c r="N84" s="235">
        <f t="shared" si="1"/>
        <v>5543616</v>
      </c>
      <c r="O84" s="284">
        <f t="shared" si="2"/>
        <v>1.1412268188302426</v>
      </c>
      <c r="P84" s="276">
        <v>701</v>
      </c>
      <c r="Q84" s="277">
        <v>800</v>
      </c>
      <c r="R84" s="273">
        <f>ROUNDUP(N84*60%,0)</f>
        <v>3326170</v>
      </c>
      <c r="S84" s="235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280">
        <f>1297.64748492171*$C$8</f>
        <v>32441.18712304275</v>
      </c>
      <c r="M85" s="270">
        <v>32441</v>
      </c>
      <c r="N85" s="235">
        <f t="shared" si="1"/>
        <v>6228672</v>
      </c>
      <c r="O85" s="284">
        <f>Q85/P85</f>
        <v>1.1235955056179776</v>
      </c>
      <c r="P85" s="276">
        <v>801</v>
      </c>
      <c r="Q85" s="277">
        <v>900</v>
      </c>
      <c r="R85" s="273">
        <f>ROUNDUP(N85*58%,0)</f>
        <v>3612630</v>
      </c>
      <c r="S85" s="235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280">
        <f>1440.23028293197*$C$8</f>
        <v>36005.757073299246</v>
      </c>
      <c r="M86" s="270">
        <v>36010</v>
      </c>
      <c r="N86" s="235">
        <f t="shared" si="1"/>
        <v>6913920</v>
      </c>
      <c r="O86" s="284">
        <f t="shared" si="2"/>
        <v>1.1098779134295227</v>
      </c>
      <c r="P86" s="276">
        <v>901</v>
      </c>
      <c r="Q86" s="277">
        <v>1000</v>
      </c>
      <c r="R86" s="273">
        <f>ROUNDDOWN(N86*56%,0)</f>
        <v>3871795</v>
      </c>
      <c r="S86" s="235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280">
        <f>1798.48936430067*$C$8</f>
        <v>44962.23410751675</v>
      </c>
      <c r="M87" s="270">
        <v>44962</v>
      </c>
      <c r="N87" s="235">
        <f t="shared" si="1"/>
        <v>8632704</v>
      </c>
      <c r="O87" s="284">
        <f t="shared" si="2"/>
        <v>1.2487512487512487</v>
      </c>
      <c r="P87" s="276">
        <v>1001</v>
      </c>
      <c r="Q87" s="277">
        <v>1250</v>
      </c>
      <c r="R87" s="273">
        <f>ROUNDDOWN(N87*54%,0)</f>
        <v>4661660</v>
      </c>
      <c r="S87" s="235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280">
        <f>2156.46206750679*$C$8</f>
        <v>53911.55168766975</v>
      </c>
      <c r="M88" s="270">
        <v>53912</v>
      </c>
      <c r="N88" s="235">
        <f t="shared" si="1"/>
        <v>10351104</v>
      </c>
      <c r="O88" s="284">
        <f t="shared" si="2"/>
        <v>1.1990407673860912</v>
      </c>
      <c r="P88" s="276">
        <v>1251</v>
      </c>
      <c r="Q88" s="277">
        <v>1500</v>
      </c>
      <c r="R88" s="273">
        <f>ROUNDDOWN(N88*52%,0)</f>
        <v>5382574</v>
      </c>
      <c r="S88" s="235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280">
        <f>2873.36717855669*$C$8</f>
        <v>71834.17946391724</v>
      </c>
      <c r="M89" s="270">
        <v>71834</v>
      </c>
      <c r="N89" s="235">
        <f t="shared" si="1"/>
        <v>13792128</v>
      </c>
      <c r="O89" s="284">
        <f t="shared" si="2"/>
        <v>1.3324450366422385</v>
      </c>
      <c r="P89" s="276">
        <v>1501</v>
      </c>
      <c r="Q89" s="277">
        <v>2000</v>
      </c>
      <c r="R89" s="273">
        <f>ROUNDDOWN(N89*50%,0)</f>
        <v>6896064</v>
      </c>
      <c r="S89" s="235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285">
        <f>3589.91401618777*$C$8</f>
        <v>89747.85040469425</v>
      </c>
      <c r="M90" s="270">
        <v>89750</v>
      </c>
      <c r="N90" s="235">
        <f t="shared" si="1"/>
        <v>17232000</v>
      </c>
      <c r="O90" s="286">
        <f t="shared" si="2"/>
        <v>1.249375312343828</v>
      </c>
      <c r="P90" s="278">
        <v>2001</v>
      </c>
      <c r="Q90" s="279">
        <v>2500</v>
      </c>
      <c r="R90" s="273">
        <f>ROUNDDOWN(N90*48%,0)</f>
        <v>8271360</v>
      </c>
      <c r="S90" s="235">
        <f>N90*48%</f>
        <v>8271360</v>
      </c>
    </row>
    <row r="91" ht="12.75">
      <c r="C91" s="1">
        <v>1.2</v>
      </c>
    </row>
    <row r="93" spans="2:9" ht="12.75">
      <c r="B93" s="301" t="s">
        <v>286</v>
      </c>
      <c r="C93" s="253">
        <v>1000000</v>
      </c>
      <c r="D93" s="254">
        <f>C93</f>
        <v>1000000</v>
      </c>
      <c r="E93" s="287"/>
      <c r="F93" s="254">
        <f>C48</f>
        <v>203958</v>
      </c>
      <c r="G93" s="256">
        <f>F93</f>
        <v>203958</v>
      </c>
      <c r="I93" s="85" t="s">
        <v>358</v>
      </c>
    </row>
    <row r="94" spans="2:7" ht="12.75">
      <c r="B94" s="304"/>
      <c r="C94" s="249">
        <f>D94-D93</f>
        <v>4000000</v>
      </c>
      <c r="D94" s="257">
        <v>5000000</v>
      </c>
      <c r="E94" s="87">
        <v>0.4</v>
      </c>
      <c r="F94" s="258">
        <f>C94*E94%</f>
        <v>16000</v>
      </c>
      <c r="G94" s="259">
        <f>G93+F94</f>
        <v>219958</v>
      </c>
    </row>
    <row r="95" spans="2:14" ht="12.75">
      <c r="B95" s="304"/>
      <c r="C95" s="249">
        <f>D95-D94</f>
        <v>10000000</v>
      </c>
      <c r="D95" s="257">
        <v>15000000</v>
      </c>
      <c r="E95" s="87">
        <v>0.3</v>
      </c>
      <c r="F95" s="258">
        <f>C95*E95%</f>
        <v>30000</v>
      </c>
      <c r="G95" s="259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04"/>
      <c r="C96" s="249">
        <f>D96-D95</f>
        <v>25000000</v>
      </c>
      <c r="D96" s="257">
        <v>40000000</v>
      </c>
      <c r="E96" s="87">
        <v>0.2</v>
      </c>
      <c r="F96" s="258">
        <f>C96*E96%</f>
        <v>50000</v>
      </c>
      <c r="G96" s="259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305"/>
      <c r="C97" s="200" t="s">
        <v>287</v>
      </c>
      <c r="D97" s="306"/>
      <c r="E97" s="261">
        <v>0.1</v>
      </c>
      <c r="F97" s="288"/>
      <c r="G97" s="289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02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7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6.00390625" style="1" customWidth="1"/>
    <col min="3" max="3" width="28.7109375" style="1" customWidth="1"/>
    <col min="4" max="4" width="19.7109375" style="1" customWidth="1"/>
    <col min="5" max="5" width="28.8515625" style="1" customWidth="1"/>
    <col min="6" max="6" width="20.0039062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327"/>
      <c r="G2" s="327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327"/>
      <c r="G4" s="327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33.75" customHeight="1">
      <c r="B7" s="17"/>
      <c r="C7" s="17"/>
      <c r="D7" s="17"/>
      <c r="E7" s="131" t="str">
        <f>x!F2</f>
        <v>Vigente desde el 01/04/2024</v>
      </c>
      <c r="G7" s="81"/>
    </row>
    <row r="8" spans="2:14" s="82" customFormat="1" ht="13.5" customHeight="1">
      <c r="B8" s="132"/>
      <c r="C8" s="133"/>
      <c r="D8" s="133"/>
      <c r="E8" s="133"/>
      <c r="F8" s="133"/>
      <c r="G8" s="134"/>
      <c r="H8" s="132"/>
      <c r="I8" s="132"/>
      <c r="J8" s="132"/>
      <c r="K8" s="132"/>
      <c r="L8" s="132"/>
      <c r="M8" s="132"/>
      <c r="N8" s="132"/>
    </row>
    <row r="9" spans="2:14" s="82" customFormat="1" ht="22.5" customHeight="1">
      <c r="B9" s="135"/>
      <c r="C9" s="136"/>
      <c r="D9" s="137"/>
      <c r="E9" s="137"/>
      <c r="F9" s="137"/>
      <c r="G9" s="138"/>
      <c r="H9" s="138"/>
      <c r="I9" s="138"/>
      <c r="M9" s="139"/>
      <c r="N9" s="139"/>
    </row>
    <row r="10" spans="2:14" s="82" customFormat="1" ht="39.75" customHeight="1">
      <c r="B10" s="140" t="s">
        <v>309</v>
      </c>
      <c r="C10" s="141"/>
      <c r="D10" s="142" t="s">
        <v>310</v>
      </c>
      <c r="E10" s="141"/>
      <c r="F10" s="141"/>
      <c r="G10" s="143"/>
      <c r="H10" s="143"/>
      <c r="I10" s="143"/>
      <c r="M10" s="144">
        <v>1</v>
      </c>
      <c r="N10" s="139"/>
    </row>
    <row r="11" spans="2:14" s="82" customFormat="1" ht="22.5" customHeight="1">
      <c r="B11" s="145" t="s">
        <v>311</v>
      </c>
      <c r="C11" s="146"/>
      <c r="D11" s="147">
        <f>IF(C11=1,24*x!C6,0)</f>
        <v>0</v>
      </c>
      <c r="E11" s="325" t="s">
        <v>312</v>
      </c>
      <c r="F11" s="325"/>
      <c r="G11" s="148"/>
      <c r="H11" s="148"/>
      <c r="I11" s="148"/>
      <c r="M11" s="139"/>
      <c r="N11" s="139"/>
    </row>
    <row r="12" spans="2:14" s="82" customFormat="1" ht="22.5" customHeight="1">
      <c r="B12" s="145" t="s">
        <v>313</v>
      </c>
      <c r="C12" s="146"/>
      <c r="D12" s="147">
        <f>IF(C12=1,32*x!C6,0)</f>
        <v>0</v>
      </c>
      <c r="E12" s="325" t="s">
        <v>314</v>
      </c>
      <c r="F12" s="325"/>
      <c r="G12" s="148"/>
      <c r="H12" s="148"/>
      <c r="I12" s="148"/>
      <c r="M12" s="139"/>
      <c r="N12" s="139"/>
    </row>
    <row r="13" spans="2:9" s="82" customFormat="1" ht="22.5" customHeight="1">
      <c r="B13" s="145" t="s">
        <v>315</v>
      </c>
      <c r="C13" s="146"/>
      <c r="D13" s="147">
        <f>IF(C13=1,40*x!C6,0)</f>
        <v>0</v>
      </c>
      <c r="E13" s="325" t="s">
        <v>316</v>
      </c>
      <c r="F13" s="325"/>
      <c r="G13" s="148"/>
      <c r="H13" s="148"/>
      <c r="I13" s="148"/>
    </row>
    <row r="14" spans="2:9" s="82" customFormat="1" ht="22.5" customHeight="1">
      <c r="B14" s="145" t="s">
        <v>317</v>
      </c>
      <c r="C14" s="146"/>
      <c r="D14" s="147">
        <f>IF(C14=1,56*x!C6,0)</f>
        <v>0</v>
      </c>
      <c r="E14" s="325" t="s">
        <v>318</v>
      </c>
      <c r="F14" s="325"/>
      <c r="G14" s="148"/>
      <c r="H14" s="148"/>
      <c r="I14" s="148"/>
    </row>
    <row r="15" spans="2:9" s="82" customFormat="1" ht="22.5" customHeight="1">
      <c r="B15" s="145" t="s">
        <v>319</v>
      </c>
      <c r="C15" s="146"/>
      <c r="D15" s="147">
        <f>IF(C15=1,112*x!C6,0)</f>
        <v>0</v>
      </c>
      <c r="E15" s="325" t="s">
        <v>320</v>
      </c>
      <c r="F15" s="325"/>
      <c r="G15" s="148"/>
      <c r="H15" s="148"/>
      <c r="I15" s="148"/>
    </row>
    <row r="16" spans="2:9" s="82" customFormat="1" ht="22.5" customHeight="1">
      <c r="B16" s="145" t="s">
        <v>321</v>
      </c>
      <c r="C16" s="146"/>
      <c r="D16" s="147">
        <f>IF(C16=1,160*x!C6,0)</f>
        <v>0</v>
      </c>
      <c r="E16" s="325" t="s">
        <v>322</v>
      </c>
      <c r="F16" s="325"/>
      <c r="G16" s="148"/>
      <c r="H16" s="148"/>
      <c r="I16" s="148"/>
    </row>
    <row r="17" spans="2:9" s="82" customFormat="1" ht="22.5" customHeight="1">
      <c r="B17" s="145" t="s">
        <v>323</v>
      </c>
      <c r="C17" s="146"/>
      <c r="D17" s="147">
        <f>IF(C17=1,240*x!C6,0)</f>
        <v>0</v>
      </c>
      <c r="E17" s="325" t="s">
        <v>324</v>
      </c>
      <c r="F17" s="325"/>
      <c r="G17" s="148"/>
      <c r="H17" s="148"/>
      <c r="I17" s="148"/>
    </row>
    <row r="18" spans="2:9" s="82" customFormat="1" ht="22.5" customHeight="1">
      <c r="B18" s="145" t="s">
        <v>11</v>
      </c>
      <c r="C18" s="146"/>
      <c r="D18" s="147">
        <f>IF(C18=1,320*x!C6,0)</f>
        <v>0</v>
      </c>
      <c r="E18" s="325" t="s">
        <v>325</v>
      </c>
      <c r="F18" s="325"/>
      <c r="G18" s="148"/>
      <c r="H18" s="148"/>
      <c r="I18" s="148"/>
    </row>
    <row r="19" spans="2:9" s="82" customFormat="1" ht="22.5" customHeight="1">
      <c r="B19" s="149"/>
      <c r="C19" s="150" t="s">
        <v>326</v>
      </c>
      <c r="D19" s="151"/>
      <c r="E19" s="152"/>
      <c r="F19" s="152"/>
      <c r="G19" s="148"/>
      <c r="H19" s="148"/>
      <c r="I19" s="148"/>
    </row>
    <row r="20" spans="2:9" s="82" customFormat="1" ht="33" customHeight="1">
      <c r="B20" s="153"/>
      <c r="C20" s="154"/>
      <c r="D20" s="151"/>
      <c r="E20" s="152"/>
      <c r="F20" s="152"/>
      <c r="G20" s="148"/>
      <c r="H20" s="148"/>
      <c r="I20" s="148"/>
    </row>
    <row r="21" spans="2:9" s="82" customFormat="1" ht="25.5" customHeight="1">
      <c r="B21" s="141" t="s">
        <v>327</v>
      </c>
      <c r="C21" s="155"/>
      <c r="D21" s="152"/>
      <c r="E21" s="152"/>
      <c r="F21" s="152"/>
      <c r="G21" s="148"/>
      <c r="H21" s="148"/>
      <c r="I21" s="148"/>
    </row>
    <row r="22" spans="2:9" s="82" customFormat="1" ht="22.5" customHeight="1">
      <c r="B22" s="141"/>
      <c r="C22" s="152"/>
      <c r="D22" s="152"/>
      <c r="E22" s="152"/>
      <c r="F22" s="152"/>
      <c r="G22" s="156" t="s">
        <v>328</v>
      </c>
      <c r="H22" s="148"/>
      <c r="I22" s="148"/>
    </row>
    <row r="23" spans="2:9" s="82" customFormat="1" ht="36.75" customHeight="1">
      <c r="B23" s="141"/>
      <c r="C23" s="152"/>
      <c r="D23" s="152"/>
      <c r="E23" s="152"/>
      <c r="F23" s="152"/>
      <c r="G23" s="157"/>
      <c r="H23" s="148"/>
      <c r="I23" s="148"/>
    </row>
    <row r="24" spans="2:9" s="82" customFormat="1" ht="27.75" customHeight="1">
      <c r="B24" s="326" t="s">
        <v>329</v>
      </c>
      <c r="C24" s="326"/>
      <c r="D24" s="326"/>
      <c r="E24" s="326"/>
      <c r="F24" s="158"/>
      <c r="G24" s="159"/>
      <c r="H24" s="132"/>
      <c r="I24" s="132"/>
    </row>
    <row r="25" spans="2:14" s="82" customFormat="1" ht="19.5" customHeight="1">
      <c r="B25" s="160"/>
      <c r="C25" s="160"/>
      <c r="D25" s="160"/>
      <c r="E25" s="160"/>
      <c r="F25" s="161"/>
      <c r="G25" s="162"/>
      <c r="H25" s="132"/>
      <c r="I25" s="132"/>
      <c r="J25" s="132"/>
      <c r="K25" s="132"/>
      <c r="L25" s="132"/>
      <c r="M25" s="132"/>
      <c r="N25" s="132"/>
    </row>
    <row r="26" spans="2:14" s="82" customFormat="1" ht="19.5" customHeight="1">
      <c r="B26" s="160"/>
      <c r="C26" s="160"/>
      <c r="D26" s="160"/>
      <c r="E26" s="160"/>
      <c r="F26" s="161"/>
      <c r="G26" s="162"/>
      <c r="H26" s="132"/>
      <c r="I26" s="132"/>
      <c r="J26" s="132"/>
      <c r="K26" s="132"/>
      <c r="L26" s="132"/>
      <c r="M26" s="132"/>
      <c r="N26" s="132"/>
    </row>
    <row r="27" spans="2:14" s="82" customFormat="1" ht="26.25" customHeight="1">
      <c r="B27" s="320" t="s">
        <v>330</v>
      </c>
      <c r="C27" s="320"/>
      <c r="D27" s="320"/>
      <c r="E27" s="290">
        <f>MAX(D11:D18)*C21</f>
        <v>0</v>
      </c>
      <c r="F27" s="161"/>
      <c r="G27" s="162"/>
      <c r="H27" s="132"/>
      <c r="I27" s="132"/>
      <c r="J27" s="132"/>
      <c r="K27" s="132"/>
      <c r="L27" s="132"/>
      <c r="M27" s="132"/>
      <c r="N27" s="132"/>
    </row>
    <row r="28" spans="2:14" s="82" customFormat="1" ht="19.5" customHeight="1">
      <c r="B28" s="163"/>
      <c r="C28" s="163"/>
      <c r="D28" s="163"/>
      <c r="E28" s="164"/>
      <c r="F28" s="161"/>
      <c r="G28" s="162"/>
      <c r="H28" s="132"/>
      <c r="I28" s="132"/>
      <c r="J28" s="132"/>
      <c r="K28" s="132"/>
      <c r="L28" s="132"/>
      <c r="M28" s="132"/>
      <c r="N28" s="132"/>
    </row>
    <row r="29" spans="2:14" s="82" customFormat="1" ht="26.25" customHeight="1">
      <c r="B29" s="320" t="s">
        <v>331</v>
      </c>
      <c r="C29" s="320"/>
      <c r="D29" s="320"/>
      <c r="E29" s="290">
        <f>E27</f>
        <v>0</v>
      </c>
      <c r="F29" s="165"/>
      <c r="G29" s="162"/>
      <c r="H29" s="166"/>
      <c r="I29" s="132"/>
      <c r="J29" s="132"/>
      <c r="K29" s="132"/>
      <c r="L29" s="132"/>
      <c r="M29" s="132"/>
      <c r="N29" s="132"/>
    </row>
    <row r="30" spans="2:8" s="82" customFormat="1" ht="16.5" customHeight="1">
      <c r="B30" s="167"/>
      <c r="C30" s="168"/>
      <c r="D30" s="169"/>
      <c r="E30" s="168"/>
      <c r="F30" s="170"/>
      <c r="G30" s="162"/>
      <c r="H30" s="171"/>
    </row>
    <row r="31" spans="2:8" s="82" customFormat="1" ht="26.25" customHeight="1">
      <c r="B31" s="320" t="s">
        <v>332</v>
      </c>
      <c r="C31" s="320"/>
      <c r="D31" s="320"/>
      <c r="E31" s="291"/>
      <c r="F31" s="170"/>
      <c r="G31" s="162"/>
      <c r="H31" s="171"/>
    </row>
    <row r="32" spans="2:9" s="82" customFormat="1" ht="16.5" customHeight="1">
      <c r="B32" s="321" t="s">
        <v>333</v>
      </c>
      <c r="C32" s="321"/>
      <c r="D32" s="321"/>
      <c r="G32" s="172"/>
      <c r="H32" s="97"/>
      <c r="I32" s="1"/>
    </row>
    <row r="33" spans="2:10" s="82" customFormat="1" ht="16.5" customHeight="1">
      <c r="B33" s="321"/>
      <c r="C33" s="321"/>
      <c r="D33" s="321"/>
      <c r="G33" s="173"/>
      <c r="H33" s="97"/>
      <c r="I33" s="1"/>
      <c r="J33" s="139" t="s">
        <v>334</v>
      </c>
    </row>
    <row r="34" spans="2:9" ht="19.5" customHeight="1">
      <c r="B34" s="174"/>
      <c r="C34" s="175"/>
      <c r="D34" s="176"/>
      <c r="E34" s="177"/>
      <c r="F34" s="178"/>
      <c r="G34" s="179"/>
      <c r="H34" s="100"/>
      <c r="I34" s="17"/>
    </row>
    <row r="35" spans="2:9" ht="16.5" customHeight="1">
      <c r="B35" s="180"/>
      <c r="C35" s="17"/>
      <c r="D35" s="178"/>
      <c r="E35" s="177"/>
      <c r="F35" s="178"/>
      <c r="G35" s="179"/>
      <c r="H35" s="100"/>
      <c r="I35" s="17"/>
    </row>
    <row r="36" spans="2:9" ht="16.5" customHeight="1">
      <c r="B36" s="180"/>
      <c r="C36" s="17"/>
      <c r="D36" s="178"/>
      <c r="E36" s="177"/>
      <c r="F36" s="178"/>
      <c r="G36" s="179"/>
      <c r="H36" s="100"/>
      <c r="I36" s="17"/>
    </row>
    <row r="37" spans="2:9" ht="16.5" customHeight="1">
      <c r="B37" s="180"/>
      <c r="C37" s="17"/>
      <c r="D37" s="178"/>
      <c r="E37" s="177"/>
      <c r="F37" s="178"/>
      <c r="G37" s="179"/>
      <c r="H37" s="100"/>
      <c r="I37" s="17"/>
    </row>
    <row r="38" spans="2:8" ht="39.75" customHeight="1">
      <c r="B38" s="322">
        <f>IF(E31&lt;E29,J33,"")</f>
      </c>
      <c r="C38" s="322"/>
      <c r="D38" s="322"/>
      <c r="E38" s="322"/>
      <c r="F38" s="181"/>
      <c r="H38" s="97"/>
    </row>
    <row r="39" spans="2:8" ht="65.25" customHeight="1">
      <c r="B39" s="182"/>
      <c r="C39" s="183"/>
      <c r="D39" s="178"/>
      <c r="E39" s="177"/>
      <c r="F39" s="323"/>
      <c r="G39" s="323"/>
      <c r="H39" s="100"/>
    </row>
    <row r="40" spans="2:8" ht="39.75" customHeight="1">
      <c r="B40" s="182"/>
      <c r="C40" s="183"/>
      <c r="D40" s="184"/>
      <c r="E40" s="103"/>
      <c r="F40" s="323"/>
      <c r="G40" s="323"/>
      <c r="H40" s="100"/>
    </row>
    <row r="41" spans="2:8" ht="14.25" customHeight="1">
      <c r="B41" s="182"/>
      <c r="C41" s="183"/>
      <c r="D41" s="185"/>
      <c r="E41" s="186"/>
      <c r="F41" s="187"/>
      <c r="G41" s="187"/>
      <c r="H41" s="100"/>
    </row>
    <row r="42" spans="2:8" ht="29.25" customHeight="1">
      <c r="B42" s="188"/>
      <c r="C42" s="189"/>
      <c r="D42" s="190"/>
      <c r="E42" s="191"/>
      <c r="F42" s="324" t="s">
        <v>335</v>
      </c>
      <c r="G42" s="324"/>
      <c r="H42" s="100"/>
    </row>
    <row r="43" spans="2:8" ht="77.25" customHeight="1">
      <c r="B43" s="177"/>
      <c r="C43" s="192"/>
      <c r="D43" s="192"/>
      <c r="E43" s="193"/>
      <c r="F43" s="97"/>
      <c r="G43" s="100"/>
      <c r="H43" s="100"/>
    </row>
    <row r="44" spans="1:7" ht="16.5" customHeight="1">
      <c r="A44" s="104"/>
      <c r="B44" s="194" t="s">
        <v>336</v>
      </c>
      <c r="C44" s="194"/>
      <c r="D44" s="194"/>
      <c r="E44" s="194"/>
      <c r="F44" s="194"/>
      <c r="G44" s="194"/>
    </row>
    <row r="45" spans="1:8" ht="16.5" customHeight="1">
      <c r="A45" s="104"/>
      <c r="B45" s="111" t="s">
        <v>337</v>
      </c>
      <c r="C45" s="195"/>
      <c r="D45" s="195"/>
      <c r="E45" s="195"/>
      <c r="F45" s="195"/>
      <c r="G45" s="195"/>
      <c r="H45" s="196"/>
    </row>
    <row r="46" spans="1:8" ht="16.5" customHeight="1">
      <c r="A46" s="104"/>
      <c r="B46" s="195"/>
      <c r="C46" s="195" t="s">
        <v>338</v>
      </c>
      <c r="D46" s="195"/>
      <c r="E46" s="195"/>
      <c r="F46" s="195"/>
      <c r="G46" s="195"/>
      <c r="H46" s="196"/>
    </row>
    <row r="47" spans="1:8" ht="16.5" customHeight="1">
      <c r="A47" s="104"/>
      <c r="B47" s="111" t="s">
        <v>339</v>
      </c>
      <c r="C47" s="195"/>
      <c r="D47" s="195"/>
      <c r="E47" s="195"/>
      <c r="F47" s="195"/>
      <c r="G47" s="195"/>
      <c r="H47" s="196"/>
    </row>
    <row r="48" spans="1:8" ht="16.5" customHeight="1">
      <c r="A48" s="104"/>
      <c r="B48" s="195"/>
      <c r="C48" s="195" t="s">
        <v>340</v>
      </c>
      <c r="D48" s="195"/>
      <c r="E48" s="195"/>
      <c r="F48" s="195"/>
      <c r="G48" s="195"/>
      <c r="H48" s="196"/>
    </row>
    <row r="49" spans="1:8" ht="16.5" customHeight="1">
      <c r="A49" s="104"/>
      <c r="B49" s="111" t="s">
        <v>341</v>
      </c>
      <c r="C49" s="195"/>
      <c r="D49" s="195"/>
      <c r="E49" s="195"/>
      <c r="F49" s="195"/>
      <c r="G49" s="195"/>
      <c r="H49" s="196"/>
    </row>
    <row r="50" spans="1:8" ht="16.5" customHeight="1">
      <c r="A50" s="104"/>
      <c r="B50" s="111" t="s">
        <v>342</v>
      </c>
      <c r="C50" s="195"/>
      <c r="D50" s="195"/>
      <c r="E50" s="195"/>
      <c r="F50" s="195"/>
      <c r="G50" s="195"/>
      <c r="H50" s="196"/>
    </row>
    <row r="53" spans="2:10" ht="12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2.75">
      <c r="B54" s="17"/>
      <c r="C54" s="17"/>
      <c r="D54" s="17"/>
      <c r="E54" s="17"/>
      <c r="F54" s="319"/>
      <c r="G54" s="319"/>
      <c r="H54" s="17"/>
      <c r="I54" s="17"/>
      <c r="J54" s="17"/>
    </row>
    <row r="55" spans="2:10" ht="12.75">
      <c r="B55" s="17"/>
      <c r="C55" s="17"/>
      <c r="D55" s="17"/>
      <c r="E55" s="17"/>
      <c r="F55" s="18"/>
      <c r="G55" s="18"/>
      <c r="H55" s="17"/>
      <c r="I55" s="17"/>
      <c r="J55" s="17"/>
    </row>
    <row r="56" spans="2:10" ht="12.75">
      <c r="B56" s="17"/>
      <c r="C56" s="17"/>
      <c r="D56" s="17"/>
      <c r="E56" s="17"/>
      <c r="F56" s="18"/>
      <c r="G56" s="18"/>
      <c r="H56" s="17"/>
      <c r="I56" s="17"/>
      <c r="J56" s="17"/>
    </row>
    <row r="57" spans="2:10" ht="12.75">
      <c r="B57" s="17"/>
      <c r="C57" s="17"/>
      <c r="D57" s="17"/>
      <c r="E57" s="17"/>
      <c r="F57" s="18"/>
      <c r="G57" s="18"/>
      <c r="H57" s="17"/>
      <c r="I57" s="17"/>
      <c r="J57" s="17"/>
    </row>
    <row r="58" spans="2:10" ht="12.75">
      <c r="B58" s="17"/>
      <c r="C58" s="17"/>
      <c r="D58" s="17"/>
      <c r="E58" s="17"/>
      <c r="F58" s="18"/>
      <c r="G58" s="18"/>
      <c r="H58" s="17"/>
      <c r="I58" s="17"/>
      <c r="J58" s="17"/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13"/>
      <c r="C61" s="113"/>
      <c r="D61" s="113"/>
      <c r="E61" s="17"/>
      <c r="F61" s="17"/>
      <c r="G61" s="17"/>
      <c r="H61" s="17"/>
      <c r="I61" s="17"/>
      <c r="J61" s="17"/>
    </row>
    <row r="62" spans="2:10" ht="12.75">
      <c r="B62" s="197"/>
      <c r="C62" s="113"/>
      <c r="D62" s="113"/>
      <c r="E62" s="17"/>
      <c r="F62" s="17"/>
      <c r="G62" s="17"/>
      <c r="H62" s="17"/>
      <c r="I62" s="17"/>
      <c r="J62" s="17"/>
    </row>
    <row r="63" spans="2:3" ht="12.75">
      <c r="B63" s="106"/>
      <c r="C63" s="106"/>
    </row>
    <row r="64" spans="2:4" ht="12.75">
      <c r="B64" s="115"/>
      <c r="C64" s="106"/>
      <c r="D64" s="106"/>
    </row>
    <row r="65" spans="2:3" ht="12.75">
      <c r="B65" s="106"/>
      <c r="C65" s="106"/>
    </row>
    <row r="66" spans="2:3" ht="12.75">
      <c r="B66" s="115"/>
      <c r="C66" s="106"/>
    </row>
    <row r="67" spans="2:3" ht="12.75">
      <c r="B67" s="115"/>
      <c r="C67" s="106"/>
    </row>
  </sheetData>
  <sheetProtection password="CA22" sheet="1" objects="1" scenarios="1" selectLockedCells="1"/>
  <protectedRanges>
    <protectedRange password="C71C" sqref="C11:C18 C2 F2 C4 F4 C21 E31" name="Rango1"/>
  </protectedRanges>
  <mergeCells count="19">
    <mergeCell ref="B24:E24"/>
    <mergeCell ref="B27:D27"/>
    <mergeCell ref="F2:G2"/>
    <mergeCell ref="F4:G4"/>
    <mergeCell ref="E11:F11"/>
    <mergeCell ref="E12:F12"/>
    <mergeCell ref="E13:F13"/>
    <mergeCell ref="E14:F14"/>
    <mergeCell ref="E15:F15"/>
    <mergeCell ref="E16:F16"/>
    <mergeCell ref="E17:F17"/>
    <mergeCell ref="E18:F18"/>
    <mergeCell ref="F54:G54"/>
    <mergeCell ref="B29:D29"/>
    <mergeCell ref="B31:D31"/>
    <mergeCell ref="B32:D33"/>
    <mergeCell ref="B38:E38"/>
    <mergeCell ref="F39:G40"/>
    <mergeCell ref="F42:G42"/>
  </mergeCells>
  <conditionalFormatting sqref="E41">
    <cfRule type="cellIs" priority="1" dxfId="7" operator="equal" stopIfTrue="1">
      <formula>"calcularlo a mano"</formula>
    </cfRule>
  </conditionalFormatting>
  <conditionalFormatting sqref="E31">
    <cfRule type="cellIs" priority="2" dxfId="8" operator="lessThan" stopIfTrue="1">
      <formula>$E$29</formula>
    </cfRule>
    <cfRule type="cellIs" priority="3" dxfId="9" operator="notEqual" stopIfTrue="1">
      <formula>0</formula>
    </cfRule>
  </conditionalFormatting>
  <conditionalFormatting sqref="C2 C4">
    <cfRule type="cellIs" priority="4" dxfId="10" operator="greaterThan" stopIfTrue="1">
      <formula>0</formula>
    </cfRule>
  </conditionalFormatting>
  <conditionalFormatting sqref="F2:G2 F4:G4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38:E38">
    <cfRule type="cellIs" priority="7" dxfId="8" operator="equal" stopIfTrue="1">
      <formula>$J$33</formula>
    </cfRule>
  </conditionalFormatting>
  <dataValidations count="1">
    <dataValidation type="list" allowBlank="1" showErrorMessage="1" sqref="C11:C18">
      <formula1>$M$10</formula1>
      <formula2>0</formula2>
    </dataValidation>
  </dataValidations>
  <printOptions/>
  <pageMargins left="0.6692913385826772" right="0.3937007874015748" top="1.2598425196850394" bottom="0.2362204724409449" header="0.15748031496062992" footer="0.2362204724409449"/>
  <pageSetup horizontalDpi="300" verticalDpi="300" orientation="portrait" paperSize="9" scale="50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4" sqref="F4"/>
    </sheetView>
  </sheetViews>
  <sheetFormatPr defaultColWidth="11.00390625" defaultRowHeight="12.75"/>
  <sheetData>
    <row r="4" spans="2:5" ht="12.75" customHeight="1">
      <c r="B4" s="328" t="s">
        <v>343</v>
      </c>
      <c r="C4" s="328"/>
      <c r="D4" s="329">
        <f>IF('DT Agropecuaria'!E31&lt;=156000,3900,(('DT Agropecuaria'!E31)*2.5%))</f>
        <v>3900</v>
      </c>
      <c r="E4" s="329"/>
    </row>
    <row r="5" spans="2:5" ht="12.75" customHeight="1">
      <c r="B5" s="328"/>
      <c r="C5" s="328"/>
      <c r="D5" s="329"/>
      <c r="E5" s="329"/>
    </row>
    <row r="6" spans="2:5" ht="12.75">
      <c r="B6" s="328"/>
      <c r="C6" s="328"/>
      <c r="D6" s="329"/>
      <c r="E6" s="329"/>
    </row>
    <row r="7" spans="2:5" ht="12.75">
      <c r="B7" s="328"/>
      <c r="C7" s="328"/>
      <c r="D7" s="329"/>
      <c r="E7" s="329"/>
    </row>
    <row r="10" spans="3:5" ht="15">
      <c r="C10" s="198"/>
      <c r="D10" s="199"/>
      <c r="E10" s="199"/>
    </row>
    <row r="11" spans="2:5" ht="15.75" customHeight="1">
      <c r="B11" s="330" t="s">
        <v>344</v>
      </c>
      <c r="C11" s="330"/>
      <c r="D11" s="331">
        <v>0.012</v>
      </c>
      <c r="E11" s="331"/>
    </row>
    <row r="12" spans="2:5" ht="12.75">
      <c r="B12" s="330"/>
      <c r="C12" s="330"/>
      <c r="D12" s="332">
        <f>'DT Agropecuaria'!E31*1.2%</f>
        <v>0</v>
      </c>
      <c r="E12" s="332"/>
    </row>
    <row r="13" spans="2:5" ht="12.75">
      <c r="B13" s="330"/>
      <c r="C13" s="330"/>
      <c r="D13" s="332"/>
      <c r="E13" s="332"/>
    </row>
    <row r="14" spans="2:5" ht="12.75">
      <c r="B14" s="330"/>
      <c r="C14" s="330"/>
      <c r="D14" s="332"/>
      <c r="E14" s="332"/>
    </row>
    <row r="15" spans="2:5" ht="12.75">
      <c r="B15" s="330"/>
      <c r="C15" s="330"/>
      <c r="D15" s="332"/>
      <c r="E15" s="332"/>
    </row>
    <row r="18" spans="2:5" ht="12.75" customHeight="1">
      <c r="B18" s="328" t="s">
        <v>345</v>
      </c>
      <c r="C18" s="328"/>
      <c r="D18" s="329">
        <f>'DT Agropecuaria'!E31*0.1</f>
        <v>0</v>
      </c>
      <c r="E18" s="329"/>
    </row>
    <row r="19" spans="2:5" ht="12.75" customHeight="1">
      <c r="B19" s="328"/>
      <c r="C19" s="328"/>
      <c r="D19" s="329"/>
      <c r="E19" s="329"/>
    </row>
    <row r="20" spans="2:5" ht="12.75">
      <c r="B20" s="328"/>
      <c r="C20" s="328"/>
      <c r="D20" s="329"/>
      <c r="E20" s="329"/>
    </row>
    <row r="21" spans="2:5" ht="12.75">
      <c r="B21" s="328"/>
      <c r="C21" s="328"/>
      <c r="D21" s="329"/>
      <c r="E21" s="329"/>
    </row>
  </sheetData>
  <sheetProtection password="CA22" sheet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2024-03-25T14:19:21Z</cp:lastPrinted>
  <dcterms:created xsi:type="dcterms:W3CDTF">2024-03-25T14:22:15Z</dcterms:created>
  <dcterms:modified xsi:type="dcterms:W3CDTF">2024-03-25T14:59:51Z</dcterms:modified>
  <cp:category/>
  <cp:version/>
  <cp:contentType/>
  <cp:contentStatus/>
</cp:coreProperties>
</file>