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tabRatio="500" firstSheet="2" activeTab="2"/>
  </bookViews>
  <sheets>
    <sheet name="Tablas" sheetId="1" state="hidden" r:id="rId1"/>
    <sheet name="x" sheetId="2" state="hidden" r:id="rId2"/>
    <sheet name="CAIE" sheetId="3" r:id="rId3"/>
    <sheet name="TASA DE VISADO" sheetId="4" r:id="rId4"/>
  </sheets>
  <externalReferences>
    <externalReference r:id="rId7"/>
    <externalReference r:id="rId8"/>
  </externalReferences>
  <definedNames>
    <definedName name="_xlnm.Print_Area" localSheetId="2">'CAIE'!$B$23:$G$90</definedName>
    <definedName name="EISat1">'[1]ELOY (2)'!#REF!</definedName>
    <definedName name="Electrica">'CAIE'!$G$25</definedName>
    <definedName name="Excel_BuiltIn_Print_Area" localSheetId="2">'CAIE'!$B$23:$G$90</definedName>
    <definedName name="Excel_BuiltIn_Print_Titles" localSheetId="2">'CAIE'!$2:$12</definedName>
    <definedName name="material">'[1]ELOY'!$A$8:$G$75</definedName>
    <definedName name="reptec">#REF!</definedName>
    <definedName name="_xlnm.Print_Titles" localSheetId="2">'CAIE'!$2:$12</definedName>
    <definedName name="valorfiscal">'[2]EAg'!#REF!</definedName>
  </definedNames>
  <calcPr fullCalcOnLoad="1"/>
</workbook>
</file>

<file path=xl/comments2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<sst xmlns="http://schemas.openxmlformats.org/spreadsheetml/2006/main" count="323" uniqueCount="215">
  <si>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</si>
  <si>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</si>
  <si>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</si>
  <si>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</si>
  <si>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</si>
  <si>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</si>
  <si>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</si>
  <si>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</si>
  <si>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</si>
  <si>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</si>
  <si>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</si>
  <si>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</si>
  <si>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</si>
  <si>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</si>
  <si>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</si>
  <si>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</si>
  <si>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</si>
  <si>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</si>
  <si>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</si>
  <si>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</si>
  <si>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</si>
  <si>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</si>
  <si>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</si>
  <si>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</si>
  <si>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</si>
  <si>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</si>
  <si>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</si>
  <si>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</si>
  <si>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</si>
  <si>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</si>
  <si>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</si>
  <si>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</si>
  <si>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</si>
  <si>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</si>
  <si>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</si>
  <si>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</si>
  <si>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</si>
  <si>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</si>
  <si>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</si>
  <si>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</si>
  <si>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</si>
  <si>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</si>
  <si>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</si>
  <si>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</si>
  <si>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</si>
  <si>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</si>
  <si>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</si>
  <si>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</si>
  <si>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</si>
  <si>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</si>
  <si>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</si>
  <si>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</si>
  <si>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</si>
  <si>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</si>
  <si>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</si>
  <si>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</si>
  <si>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</si>
  <si>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</si>
  <si>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</si>
  <si>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</si>
  <si>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</si>
  <si>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</si>
  <si>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</si>
  <si>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</si>
  <si>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</si>
  <si>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</si>
  <si>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</si>
  <si>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</si>
  <si>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</si>
  <si>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</si>
  <si>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</si>
  <si>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</si>
  <si>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</si>
  <si>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</si>
  <si>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</si>
  <si>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</si>
  <si>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</si>
  <si>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</si>
  <si>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</si>
  <si>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</si>
  <si>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</si>
  <si>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</si>
  <si>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</si>
  <si>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</si>
  <si>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</si>
  <si>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</si>
  <si>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</si>
  <si>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</si>
  <si>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</si>
  <si>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</si>
  <si>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</si>
  <si>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</si>
  <si>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</si>
  <si>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</si>
  <si>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</si>
  <si>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</si>
  <si>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</si>
  <si>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</si>
  <si>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</si>
  <si>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</si>
  <si>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</si>
  <si>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</si>
  <si>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</si>
  <si>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</si>
  <si>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</si>
  <si>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</si>
  <si>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</si>
  <si>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</si>
  <si>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</si>
  <si>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</si>
  <si>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</si>
  <si>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</si>
  <si>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</si>
  <si>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</si>
  <si>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</si>
  <si>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</si>
  <si>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</si>
  <si>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</si>
  <si>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</si>
  <si>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</si>
  <si>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</si>
  <si>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</si>
  <si>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</si>
  <si>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</si>
  <si>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</si>
  <si>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</si>
  <si>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</si>
  <si>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</si>
  <si>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</si>
  <si>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</si>
  <si>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</si>
  <si>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</si>
  <si>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</si>
  <si>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</si>
  <si>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</si>
  <si>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</si>
  <si>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</si>
  <si>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</si>
  <si>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</si>
  <si>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</si>
  <si>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</si>
  <si>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</si>
  <si>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</si>
  <si>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</si>
  <si>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</si>
  <si>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</si>
  <si>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</si>
  <si>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</si>
  <si>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</si>
  <si>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</si>
  <si>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</si>
  <si>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</si>
  <si>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</si>
  <si>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</si>
  <si>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</si>
  <si>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Fecha de Contrato:</t>
  </si>
  <si>
    <t>Obra:</t>
  </si>
  <si>
    <t>Profesional:</t>
  </si>
  <si>
    <t>Comitente:</t>
  </si>
  <si>
    <t>CERTIFICADOS DE APTITUD DE INSTALACIONES ELÉCTRICAS (CAIE)</t>
  </si>
  <si>
    <t>Res. N° 1.345/20 - ELECTRÓNICOS - EN ELECTRÓNICA - TELECOMUNICACIONES</t>
  </si>
  <si>
    <t>SITIOS DE TELEFONÍA MOVIL (ANTENAS) O RADIO DIFUSIÓN (RADIOBASE) O SIMILARES</t>
  </si>
  <si>
    <t>Coef. de actualización</t>
  </si>
  <si>
    <t>Para Categorías 3º - 5º - 7º - 8º</t>
  </si>
  <si>
    <t>Categoría de Obra</t>
  </si>
  <si>
    <t>Tareas</t>
  </si>
  <si>
    <r>
      <rPr>
        <sz val="10"/>
        <rFont val="Arial"/>
        <family val="0"/>
      </rPr>
      <t>Indicar con "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" lo que corresponda.</t>
    </r>
  </si>
  <si>
    <t>Proyecto</t>
  </si>
  <si>
    <t>Dirección Técnica</t>
  </si>
  <si>
    <t>Dirección Ejecutiva</t>
  </si>
  <si>
    <t>(200 % D.T.)</t>
  </si>
  <si>
    <t>Valor en Juego</t>
  </si>
  <si>
    <t>1. Valor en juego s/Computo y Presupuesto</t>
  </si>
  <si>
    <t>2. Valor en juego calculado s/Anexo II</t>
  </si>
  <si>
    <t xml:space="preserve"> HP y/o CV</t>
  </si>
  <si>
    <t>$ / HP y/o CV</t>
  </si>
  <si>
    <t>por boca alumbrado</t>
  </si>
  <si>
    <t>$ / boca</t>
  </si>
  <si>
    <t>Valor en juego calculado s/Superficies.</t>
  </si>
  <si>
    <t xml:space="preserve">Valor en Juego Adoptado </t>
  </si>
  <si>
    <t>Calculo del Honorario Minimo</t>
  </si>
  <si>
    <t>Siguientes</t>
  </si>
  <si>
    <t>Honorario por Proyecto y Dirección   (I)</t>
  </si>
  <si>
    <t>Descomposición del Honorario</t>
  </si>
  <si>
    <t>Visado Nº</t>
  </si>
  <si>
    <t>Honorario Profesional Mínimo</t>
  </si>
  <si>
    <t>Honorario Profesional Adoptado</t>
  </si>
  <si>
    <t>EL HONORARIO ADOPTADO NO DEBE SER MENOR AL HP MÍNIMO</t>
  </si>
  <si>
    <t>DATO OBLIGATORIO A COMPLETAR POR EL PROFESIONAL</t>
  </si>
  <si>
    <t>Firma y sello del Profesional</t>
  </si>
  <si>
    <t>Previo a la firma de todo contrato, el profesional deberá tener vigente su matrícula.</t>
  </si>
  <si>
    <r>
      <rPr>
        <b/>
        <sz val="8"/>
        <rFont val="Arial"/>
        <family val="2"/>
      </rPr>
      <t>Decreto Nº 784/71 Art. 2º</t>
    </r>
    <r>
      <rPr>
        <sz val="8"/>
        <rFont val="Arial"/>
        <family val="2"/>
      </rPr>
      <t>: "El profesional es directamente responsable ante el Colegio de Ingenieros, por la determinación del monto de sus honorarios,</t>
    </r>
  </si>
  <si>
    <t xml:space="preserve">           en caso de duda deberá consultar al referido Colegio"</t>
  </si>
  <si>
    <r>
      <rPr>
        <b/>
        <sz val="8"/>
        <rFont val="Arial"/>
        <family val="2"/>
      </rPr>
      <t>Decreto Nº 748/71 Art. 5º</t>
    </r>
    <r>
      <rPr>
        <sz val="8"/>
        <rFont val="Arial"/>
        <family val="2"/>
      </rPr>
      <t xml:space="preserve">: "Cuando la realización efectiva de los trabajos contratados difiera de aquella prevista para la regulación de honorarios, </t>
    </r>
  </si>
  <si>
    <t xml:space="preserve">           éstos deberán reajustarse de acuerdo al arancel"</t>
  </si>
  <si>
    <t>Art 6º bis. Ley 10.416</t>
  </si>
  <si>
    <t xml:space="preserve">         "Ningún Organismo provincial, municipal o privado, dará aprobación final a ninguna documentación técnica presentada por </t>
  </si>
  <si>
    <t>y modif.10.698</t>
  </si>
  <si>
    <t xml:space="preserve">          ingenieros que carezca de las constancias de haberse realizado la visación por el Colegio de Ingenieros". </t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</si>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</sst>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_ * #,##0.00_ ;_ * \-#,##0.00_ ;_ * &quot;-&quot;??_ ;_ @_ "/>
    <numFmt numFmtId="185" formatCode="[$$-2C0A]\ #,##0.00;[$$-2C0A]\ \-#,##0.00"/>
    <numFmt numFmtId="186" formatCode="_ &quot;$&quot;\ * #,##0.00_ ;_ &quot;$&quot;\ * \-#,##0.00_ ;_ &quot;$&quot;\ * &quot;-&quot;??_ ;_ @_ "/>
    <numFmt numFmtId="187" formatCode="_ * #,##0_ ;_ * \-#,##0_ ;_ * &quot;-&quot;??_ ;_ @_ "/>
    <numFmt numFmtId="188" formatCode="&quot;$&quot;\ #,##0.00;[Red]&quot;$&quot;\ \-#,##0.00"/>
    <numFmt numFmtId="189" formatCode="&quot;$&quot;\ #,##0;[Red]&quot;$&quot;\ \-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u val="single"/>
      <sz val="11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Times New Roman"/>
      <family val="1"/>
    </font>
    <font>
      <b/>
      <sz val="13"/>
      <color indexed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166" fontId="19" fillId="0" borderId="11" xfId="0" applyNumberFormat="1" applyFont="1" applyFill="1" applyBorder="1" applyAlignment="1" applyProtection="1">
      <alignment horizontal="center"/>
      <protection hidden="1"/>
    </xf>
    <xf numFmtId="167" fontId="19" fillId="0" borderId="0" xfId="0" applyNumberFormat="1" applyFont="1" applyAlignment="1" applyProtection="1">
      <alignment horizontal="center"/>
      <protection hidden="1"/>
    </xf>
    <xf numFmtId="166" fontId="19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0" fillId="0" borderId="30" xfId="0" applyFont="1" applyBorder="1" applyAlignment="1" applyProtection="1">
      <alignment/>
      <protection hidden="1"/>
    </xf>
    <xf numFmtId="0" fontId="20" fillId="0" borderId="31" xfId="0" applyFont="1" applyBorder="1" applyAlignment="1" applyProtection="1">
      <alignment/>
      <protection hidden="1"/>
    </xf>
    <xf numFmtId="0" fontId="20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175" fontId="0" fillId="0" borderId="0" xfId="48" applyNumberFormat="1" applyFont="1" applyFill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183" fontId="0" fillId="0" borderId="0" xfId="0" applyNumberFormat="1" applyAlignment="1" applyProtection="1">
      <alignment/>
      <protection hidden="1"/>
    </xf>
    <xf numFmtId="0" fontId="27" fillId="0" borderId="0" xfId="0" applyFont="1" applyAlignment="1" applyProtection="1">
      <alignment horizontal="right"/>
      <protection hidden="1"/>
    </xf>
    <xf numFmtId="167" fontId="20" fillId="25" borderId="37" xfId="0" applyNumberFormat="1" applyFont="1" applyFill="1" applyBorder="1" applyAlignment="1" applyProtection="1">
      <alignment horizontal="center"/>
      <protection locked="0"/>
    </xf>
    <xf numFmtId="49" fontId="20" fillId="25" borderId="37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/>
      <protection hidden="1"/>
    </xf>
    <xf numFmtId="2" fontId="20" fillId="0" borderId="11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3" fontId="0" fillId="0" borderId="18" xfId="48" applyNumberFormat="1" applyFont="1" applyFill="1" applyBorder="1" applyAlignment="1" applyProtection="1">
      <alignment horizontal="center"/>
      <protection hidden="1"/>
    </xf>
    <xf numFmtId="3" fontId="0" fillId="0" borderId="19" xfId="48" applyNumberFormat="1" applyFont="1" applyFill="1" applyBorder="1" applyAlignment="1" applyProtection="1">
      <alignment horizontal="center"/>
      <protection hidden="1"/>
    </xf>
    <xf numFmtId="170" fontId="0" fillId="0" borderId="18" xfId="58" applyNumberFormat="1" applyFont="1" applyFill="1" applyBorder="1" applyAlignment="1" applyProtection="1">
      <alignment horizontal="center"/>
      <protection hidden="1"/>
    </xf>
    <xf numFmtId="3" fontId="0" fillId="0" borderId="12" xfId="48" applyNumberFormat="1" applyFont="1" applyFill="1" applyBorder="1" applyAlignment="1" applyProtection="1">
      <alignment horizontal="center"/>
      <protection hidden="1"/>
    </xf>
    <xf numFmtId="3" fontId="0" fillId="0" borderId="13" xfId="48" applyNumberFormat="1" applyFont="1" applyFill="1" applyBorder="1" applyAlignment="1" applyProtection="1">
      <alignment horizontal="center"/>
      <protection hidden="1"/>
    </xf>
    <xf numFmtId="170" fontId="0" fillId="0" borderId="12" xfId="58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170" fontId="0" fillId="0" borderId="14" xfId="58" applyNumberFormat="1" applyFont="1" applyFill="1" applyBorder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20" fillId="25" borderId="11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5" fontId="0" fillId="25" borderId="11" xfId="52" applyNumberFormat="1" applyFont="1" applyFill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/>
      <protection hidden="1"/>
    </xf>
    <xf numFmtId="0" fontId="0" fillId="0" borderId="41" xfId="0" applyFont="1" applyBorder="1" applyAlignment="1" applyProtection="1">
      <alignment/>
      <protection hidden="1"/>
    </xf>
    <xf numFmtId="4" fontId="0" fillId="25" borderId="11" xfId="0" applyNumberFormat="1" applyFill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right"/>
      <protection hidden="1"/>
    </xf>
    <xf numFmtId="4" fontId="0" fillId="25" borderId="11" xfId="0" applyNumberFormat="1" applyFill="1" applyBorder="1" applyAlignment="1" applyProtection="1">
      <alignment horizontal="center"/>
      <protection hidden="1"/>
    </xf>
    <xf numFmtId="175" fontId="0" fillId="0" borderId="43" xfId="52" applyNumberFormat="1" applyFont="1" applyFill="1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 hidden="1"/>
    </xf>
    <xf numFmtId="164" fontId="0" fillId="0" borderId="0" xfId="48" applyFont="1" applyFill="1" applyBorder="1" applyAlignment="1" applyProtection="1">
      <alignment/>
      <protection hidden="1"/>
    </xf>
    <xf numFmtId="175" fontId="0" fillId="0" borderId="11" xfId="0" applyNumberFormat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172" fontId="0" fillId="0" borderId="0" xfId="48" applyNumberFormat="1" applyFont="1" applyFill="1" applyBorder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75" fontId="35" fillId="0" borderId="0" xfId="0" applyNumberFormat="1" applyFont="1" applyFill="1" applyAlignment="1" applyProtection="1">
      <alignment/>
      <protection hidden="1"/>
    </xf>
    <xf numFmtId="164" fontId="20" fillId="0" borderId="0" xfId="0" applyNumberFormat="1" applyFont="1" applyFill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175" fontId="0" fillId="0" borderId="0" xfId="0" applyNumberFormat="1" applyFont="1" applyFill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32" fillId="0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0" fontId="35" fillId="0" borderId="37" xfId="0" applyFont="1" applyBorder="1" applyAlignment="1">
      <alignment/>
    </xf>
    <xf numFmtId="0" fontId="35" fillId="0" borderId="0" xfId="0" applyFont="1" applyBorder="1" applyAlignment="1">
      <alignment/>
    </xf>
    <xf numFmtId="0" fontId="20" fillId="26" borderId="0" xfId="0" applyFont="1" applyFill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0" fontId="22" fillId="0" borderId="47" xfId="0" applyFont="1" applyBorder="1" applyAlignment="1" applyProtection="1">
      <alignment/>
      <protection hidden="1"/>
    </xf>
    <xf numFmtId="0" fontId="22" fillId="26" borderId="48" xfId="0" applyFont="1" applyFill="1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50" xfId="0" applyFont="1" applyBorder="1" applyAlignment="1" applyProtection="1">
      <alignment/>
      <protection hidden="1"/>
    </xf>
    <xf numFmtId="0" fontId="0" fillId="26" borderId="47" xfId="0" applyFill="1" applyBorder="1" applyAlignment="1" applyProtection="1">
      <alignment/>
      <protection hidden="1"/>
    </xf>
    <xf numFmtId="172" fontId="20" fillId="27" borderId="48" xfId="0" applyNumberFormat="1" applyFont="1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/>
      <protection hidden="1"/>
    </xf>
    <xf numFmtId="172" fontId="20" fillId="0" borderId="0" xfId="0" applyNumberFormat="1" applyFont="1" applyAlignment="1" applyProtection="1">
      <alignment horizontal="center"/>
      <protection locked="0"/>
    </xf>
    <xf numFmtId="172" fontId="20" fillId="0" borderId="48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20" fillId="0" borderId="0" xfId="0" applyNumberFormat="1" applyFont="1" applyAlignment="1" applyProtection="1">
      <alignment horizontal="center"/>
      <protection locked="0"/>
    </xf>
    <xf numFmtId="166" fontId="20" fillId="27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6" borderId="0" xfId="0" applyNumberFormat="1" applyFill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20" fillId="27" borderId="48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Alignment="1" applyProtection="1">
      <alignment horizontal="center"/>
      <protection locked="0"/>
    </xf>
    <xf numFmtId="17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85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85" fontId="0" fillId="0" borderId="0" xfId="0" applyNumberFormat="1" applyAlignment="1" applyProtection="1">
      <alignment/>
      <protection hidden="1"/>
    </xf>
    <xf numFmtId="0" fontId="0" fillId="0" borderId="49" xfId="0" applyFont="1" applyBorder="1" applyAlignment="1" applyProtection="1">
      <alignment/>
      <protection hidden="1"/>
    </xf>
    <xf numFmtId="0" fontId="0" fillId="0" borderId="51" xfId="0" applyFont="1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26" borderId="52" xfId="0" applyFill="1" applyBorder="1" applyAlignment="1" applyProtection="1">
      <alignment/>
      <protection hidden="1"/>
    </xf>
    <xf numFmtId="3" fontId="0" fillId="26" borderId="52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53" xfId="52" applyFont="1" applyFill="1" applyBorder="1" applyAlignment="1">
      <alignment/>
    </xf>
    <xf numFmtId="176" fontId="0" fillId="0" borderId="53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87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20" fillId="26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6" borderId="0" xfId="0" applyNumberFormat="1" applyFill="1" applyAlignment="1" applyProtection="1">
      <alignment horizontal="center"/>
      <protection locked="0"/>
    </xf>
    <xf numFmtId="188" fontId="20" fillId="0" borderId="0" xfId="0" applyNumberFormat="1" applyFont="1" applyAlignment="1" applyProtection="1">
      <alignment/>
      <protection hidden="1"/>
    </xf>
    <xf numFmtId="180" fontId="20" fillId="28" borderId="0" xfId="0" applyNumberFormat="1" applyFont="1" applyFill="1" applyAlignment="1" applyProtection="1">
      <alignment horizontal="center"/>
      <protection locked="0"/>
    </xf>
    <xf numFmtId="189" fontId="20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54" xfId="0" applyNumberFormat="1" applyBorder="1" applyAlignment="1" applyProtection="1">
      <alignment/>
      <protection hidden="1"/>
    </xf>
    <xf numFmtId="172" fontId="0" fillId="0" borderId="55" xfId="0" applyNumberFormat="1" applyBorder="1" applyAlignment="1" applyProtection="1">
      <alignment/>
      <protection hidden="1"/>
    </xf>
    <xf numFmtId="186" fontId="0" fillId="0" borderId="49" xfId="0" applyNumberFormat="1" applyBorder="1" applyAlignment="1" applyProtection="1">
      <alignment/>
      <protection hidden="1"/>
    </xf>
    <xf numFmtId="172" fontId="0" fillId="0" borderId="56" xfId="0" applyNumberFormat="1" applyBorder="1" applyAlignment="1" applyProtection="1">
      <alignment/>
      <protection hidden="1"/>
    </xf>
    <xf numFmtId="186" fontId="0" fillId="0" borderId="51" xfId="0" applyNumberFormat="1" applyBorder="1" applyAlignment="1" applyProtection="1">
      <alignment/>
      <protection hidden="1"/>
    </xf>
    <xf numFmtId="172" fontId="0" fillId="0" borderId="57" xfId="0" applyNumberFormat="1" applyBorder="1" applyAlignment="1" applyProtection="1">
      <alignment/>
      <protection hidden="1"/>
    </xf>
    <xf numFmtId="186" fontId="0" fillId="27" borderId="54" xfId="0" applyNumberFormat="1" applyFill="1" applyBorder="1" applyAlignment="1" applyProtection="1">
      <alignment/>
      <protection hidden="1"/>
    </xf>
    <xf numFmtId="186" fontId="0" fillId="0" borderId="53" xfId="0" applyNumberFormat="1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186" fontId="0" fillId="0" borderId="55" xfId="0" applyNumberFormat="1" applyBorder="1" applyAlignment="1" applyProtection="1">
      <alignment/>
      <protection hidden="1"/>
    </xf>
    <xf numFmtId="186" fontId="0" fillId="27" borderId="0" xfId="0" applyNumberFormat="1" applyFill="1" applyAlignment="1" applyProtection="1">
      <alignment/>
      <protection hidden="1"/>
    </xf>
    <xf numFmtId="186" fontId="0" fillId="0" borderId="0" xfId="0" applyNumberFormat="1" applyAlignment="1" applyProtection="1">
      <alignment/>
      <protection hidden="1"/>
    </xf>
    <xf numFmtId="186" fontId="0" fillId="0" borderId="56" xfId="0" applyNumberFormat="1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57" xfId="0" applyBorder="1" applyAlignment="1" applyProtection="1">
      <alignment/>
      <protection hidden="1"/>
    </xf>
    <xf numFmtId="182" fontId="24" fillId="26" borderId="47" xfId="0" applyNumberFormat="1" applyFont="1" applyFill="1" applyBorder="1" applyAlignment="1">
      <alignment horizontal="center"/>
    </xf>
    <xf numFmtId="182" fontId="24" fillId="0" borderId="47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29" borderId="0" xfId="0" applyFont="1" applyFill="1" applyAlignment="1">
      <alignment/>
    </xf>
    <xf numFmtId="0" fontId="0" fillId="29" borderId="0" xfId="0" applyFill="1" applyAlignment="1">
      <alignment/>
    </xf>
    <xf numFmtId="182" fontId="24" fillId="0" borderId="58" xfId="0" applyNumberFormat="1" applyFont="1" applyBorder="1" applyAlignment="1">
      <alignment horizontal="center"/>
    </xf>
    <xf numFmtId="182" fontId="0" fillId="26" borderId="0" xfId="0" applyNumberFormat="1" applyFill="1" applyAlignment="1" applyProtection="1">
      <alignment/>
      <protection hidden="1"/>
    </xf>
    <xf numFmtId="0" fontId="26" fillId="29" borderId="58" xfId="0" applyFont="1" applyFill="1" applyBorder="1" applyAlignment="1">
      <alignment/>
    </xf>
    <xf numFmtId="0" fontId="26" fillId="29" borderId="59" xfId="0" applyFont="1" applyFill="1" applyBorder="1" applyAlignment="1">
      <alignment/>
    </xf>
    <xf numFmtId="44" fontId="0" fillId="26" borderId="0" xfId="0" applyNumberFormat="1" applyFill="1" applyAlignment="1" applyProtection="1">
      <alignment/>
      <protection hidden="1"/>
    </xf>
    <xf numFmtId="0" fontId="26" fillId="29" borderId="50" xfId="0" applyFont="1" applyFill="1" applyBorder="1" applyAlignment="1">
      <alignment/>
    </xf>
    <xf numFmtId="0" fontId="26" fillId="29" borderId="47" xfId="0" applyFont="1" applyFill="1" applyBorder="1" applyAlignment="1">
      <alignment/>
    </xf>
    <xf numFmtId="0" fontId="26" fillId="0" borderId="50" xfId="0" applyFont="1" applyBorder="1" applyAlignment="1">
      <alignment/>
    </xf>
    <xf numFmtId="0" fontId="26" fillId="0" borderId="47" xfId="0" applyFont="1" applyBorder="1" applyAlignment="1">
      <alignment/>
    </xf>
    <xf numFmtId="0" fontId="26" fillId="0" borderId="60" xfId="0" applyFont="1" applyBorder="1" applyAlignment="1">
      <alignment/>
    </xf>
    <xf numFmtId="0" fontId="26" fillId="0" borderId="61" xfId="0" applyFont="1" applyBorder="1" applyAlignment="1">
      <alignment/>
    </xf>
    <xf numFmtId="182" fontId="24" fillId="0" borderId="50" xfId="0" applyNumberFormat="1" applyFont="1" applyBorder="1" applyAlignment="1">
      <alignment horizontal="center"/>
    </xf>
    <xf numFmtId="2" fontId="26" fillId="0" borderId="58" xfId="0" applyNumberFormat="1" applyFont="1" applyBorder="1" applyAlignment="1">
      <alignment horizontal="center"/>
    </xf>
    <xf numFmtId="0" fontId="26" fillId="0" borderId="58" xfId="0" applyFont="1" applyBorder="1" applyAlignment="1">
      <alignment/>
    </xf>
    <xf numFmtId="0" fontId="26" fillId="0" borderId="59" xfId="0" applyFont="1" applyBorder="1" applyAlignment="1">
      <alignment/>
    </xf>
    <xf numFmtId="2" fontId="26" fillId="0" borderId="50" xfId="0" applyNumberFormat="1" applyFont="1" applyBorder="1" applyAlignment="1">
      <alignment horizontal="center"/>
    </xf>
    <xf numFmtId="182" fontId="24" fillId="0" borderId="60" xfId="0" applyNumberFormat="1" applyFont="1" applyBorder="1" applyAlignment="1">
      <alignment horizontal="center"/>
    </xf>
    <xf numFmtId="2" fontId="26" fillId="0" borderId="60" xfId="0" applyNumberFormat="1" applyFont="1" applyBorder="1" applyAlignment="1">
      <alignment horizontal="center"/>
    </xf>
    <xf numFmtId="0" fontId="0" fillId="0" borderId="53" xfId="0" applyBorder="1" applyAlignment="1" applyProtection="1">
      <alignment horizontal="center"/>
      <protection hidden="1"/>
    </xf>
    <xf numFmtId="186" fontId="0" fillId="0" borderId="52" xfId="0" applyNumberFormat="1" applyBorder="1" applyAlignment="1" applyProtection="1">
      <alignment/>
      <protection hidden="1"/>
    </xf>
    <xf numFmtId="186" fontId="0" fillId="0" borderId="57" xfId="0" applyNumberFormat="1" applyBorder="1" applyAlignment="1" applyProtection="1">
      <alignment/>
      <protection hidden="1"/>
    </xf>
    <xf numFmtId="175" fontId="44" fillId="25" borderId="62" xfId="48" applyNumberFormat="1" applyFont="1" applyFill="1" applyBorder="1" applyAlignment="1" applyProtection="1">
      <alignment horizontal="center" vertical="center"/>
      <protection locked="0"/>
    </xf>
    <xf numFmtId="175" fontId="44" fillId="0" borderId="62" xfId="48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20" fillId="0" borderId="63" xfId="0" applyFont="1" applyBorder="1" applyAlignment="1" applyProtection="1">
      <alignment horizontal="center" textRotation="90"/>
      <protection hidden="1"/>
    </xf>
    <xf numFmtId="0" fontId="19" fillId="0" borderId="64" xfId="0" applyFont="1" applyBorder="1" applyAlignment="1" applyProtection="1">
      <alignment horizontal="center"/>
      <protection hidden="1"/>
    </xf>
    <xf numFmtId="0" fontId="0" fillId="0" borderId="65" xfId="0" applyFont="1" applyBorder="1" applyAlignment="1" applyProtection="1">
      <alignment horizontal="center"/>
      <protection hidden="1"/>
    </xf>
    <xf numFmtId="0" fontId="0" fillId="0" borderId="64" xfId="0" applyFont="1" applyBorder="1" applyAlignment="1" applyProtection="1">
      <alignment horizontal="center"/>
      <protection hidden="1"/>
    </xf>
    <xf numFmtId="164" fontId="0" fillId="0" borderId="66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65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0" fillId="0" borderId="67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center" vertical="center"/>
      <protection hidden="1"/>
    </xf>
    <xf numFmtId="0" fontId="0" fillId="0" borderId="69" xfId="0" applyFont="1" applyBorder="1" applyAlignment="1" applyProtection="1">
      <alignment horizontal="center" vertical="center"/>
      <protection hidden="1"/>
    </xf>
    <xf numFmtId="186" fontId="0" fillId="0" borderId="51" xfId="0" applyNumberFormat="1" applyBorder="1" applyAlignment="1" applyProtection="1">
      <alignment horizontal="center"/>
      <protection hidden="1"/>
    </xf>
    <xf numFmtId="186" fontId="0" fillId="0" borderId="52" xfId="0" applyNumberForma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176" fontId="0" fillId="0" borderId="67" xfId="52" applyFont="1" applyBorder="1" applyAlignment="1">
      <alignment horizontal="center" vertical="center" wrapText="1"/>
    </xf>
    <xf numFmtId="176" fontId="0" fillId="0" borderId="68" xfId="52" applyFont="1" applyBorder="1" applyAlignment="1">
      <alignment horizontal="center" vertical="center" wrapText="1"/>
    </xf>
    <xf numFmtId="176" fontId="0" fillId="0" borderId="69" xfId="52" applyFont="1" applyBorder="1" applyAlignment="1">
      <alignment horizontal="center" vertical="center" wrapText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center" vertical="center" wrapText="1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25" borderId="37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hidden="1"/>
    </xf>
    <xf numFmtId="0" fontId="36" fillId="0" borderId="11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right"/>
      <protection hidden="1"/>
    </xf>
    <xf numFmtId="0" fontId="18" fillId="0" borderId="11" xfId="0" applyFont="1" applyFill="1" applyBorder="1" applyAlignment="1" applyProtection="1">
      <alignment horizontal="center"/>
      <protection hidden="1"/>
    </xf>
    <xf numFmtId="0" fontId="37" fillId="0" borderId="70" xfId="0" applyFont="1" applyFill="1" applyBorder="1" applyAlignment="1" applyProtection="1">
      <alignment horizontal="center" vertical="center"/>
      <protection hidden="1"/>
    </xf>
    <xf numFmtId="0" fontId="38" fillId="0" borderId="38" xfId="0" applyFont="1" applyBorder="1" applyAlignment="1" applyProtection="1">
      <alignment horizontal="center" vertical="center" wrapTex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0" fillId="0" borderId="41" xfId="0" applyFont="1" applyBorder="1" applyAlignment="1" applyProtection="1">
      <alignment horizontal="right"/>
      <protection hidden="1"/>
    </xf>
    <xf numFmtId="0" fontId="35" fillId="0" borderId="0" xfId="0" applyFont="1" applyBorder="1" applyAlignment="1" applyProtection="1">
      <alignment horizontal="right"/>
      <protection hidden="1"/>
    </xf>
    <xf numFmtId="175" fontId="35" fillId="0" borderId="0" xfId="52" applyNumberFormat="1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11" xfId="0" applyFont="1" applyBorder="1" applyAlignment="1" applyProtection="1">
      <alignment horizontal="left"/>
      <protection hidden="1"/>
    </xf>
    <xf numFmtId="49" fontId="20" fillId="25" borderId="0" xfId="0" applyNumberFormat="1" applyFont="1" applyFill="1" applyBorder="1" applyAlignment="1" applyProtection="1">
      <alignment horizontal="center"/>
      <protection locked="0"/>
    </xf>
    <xf numFmtId="49" fontId="20" fillId="25" borderId="37" xfId="0" applyNumberFormat="1" applyFont="1" applyFill="1" applyBorder="1" applyAlignment="1" applyProtection="1">
      <alignment horizont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9" fillId="0" borderId="11" xfId="0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/>
      <protection hidden="1"/>
    </xf>
    <xf numFmtId="0" fontId="35" fillId="30" borderId="70" xfId="0" applyFont="1" applyFill="1" applyBorder="1" applyAlignment="1">
      <alignment horizontal="center" vertical="center" wrapText="1"/>
    </xf>
    <xf numFmtId="176" fontId="19" fillId="7" borderId="64" xfId="52" applyFont="1" applyFill="1" applyBorder="1" applyAlignment="1" applyProtection="1">
      <alignment horizontal="center" vertical="center"/>
      <protection/>
    </xf>
    <xf numFmtId="0" fontId="35" fillId="0" borderId="13" xfId="0" applyFont="1" applyBorder="1" applyAlignment="1">
      <alignment horizontal="center" vertical="center"/>
    </xf>
    <xf numFmtId="169" fontId="20" fillId="0" borderId="64" xfId="0" applyNumberFormat="1" applyFont="1" applyBorder="1" applyAlignment="1">
      <alignment horizontal="center" vertical="center" wrapText="1"/>
    </xf>
    <xf numFmtId="176" fontId="19" fillId="7" borderId="22" xfId="52" applyFont="1" applyFill="1" applyBorder="1" applyAlignment="1" applyProtection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16">
    <dxf>
      <font>
        <b val="0"/>
        <color indexed="9"/>
      </font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solid">
          <fgColor indexed="13"/>
          <bgColor indexed="51"/>
        </patternFill>
      </fill>
    </dxf>
    <dxf>
      <font>
        <b val="0"/>
        <i val="0"/>
        <color indexed="63"/>
      </font>
      <fill>
        <patternFill patternType="solid">
          <fgColor indexed="16"/>
          <bgColor indexed="10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i val="0"/>
        <color rgb="FF000000"/>
      </font>
      <fill>
        <patternFill patternType="solid">
          <fgColor rgb="FFDF0000"/>
          <bgColor rgb="FFFF0000"/>
        </patternFill>
      </fill>
      <border/>
    </dxf>
    <dxf>
      <font>
        <b val="0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agregadas\TO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zoomScale="75" zoomScaleNormal="75" zoomScalePageLayoutView="0" workbookViewId="0" topLeftCell="A1">
      <selection activeCell="I35" sqref="I35"/>
    </sheetView>
  </sheetViews>
  <sheetFormatPr defaultColWidth="11.421875" defaultRowHeight="12.75"/>
  <cols>
    <col min="1" max="1" width="5.28125" style="1" customWidth="1"/>
    <col min="2" max="35" width="12.7109375" style="1" customWidth="1"/>
    <col min="36" max="16384" width="9.140625" style="1" customWidth="1"/>
  </cols>
  <sheetData>
    <row r="1" spans="2:3" ht="14.25">
      <c r="B1" s="2"/>
      <c r="C1" s="2"/>
    </row>
    <row r="2" spans="2:7" ht="15.75">
      <c r="B2" s="243" t="s">
        <v>0</v>
      </c>
      <c r="C2" s="243"/>
      <c r="D2" s="243"/>
      <c r="E2" s="3">
        <f>x!C8</f>
        <v>25</v>
      </c>
      <c r="G2" s="4"/>
    </row>
    <row r="3" ht="15.75">
      <c r="C3" s="5"/>
    </row>
    <row r="4" spans="2:13" ht="15.75">
      <c r="B4" s="237" t="s">
        <v>1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2:13" ht="12.75">
      <c r="B5" s="242" t="s">
        <v>2</v>
      </c>
      <c r="C5" s="242"/>
      <c r="D5" s="242" t="s">
        <v>3</v>
      </c>
      <c r="E5" s="242"/>
      <c r="F5" s="242" t="s">
        <v>4</v>
      </c>
      <c r="G5" s="242"/>
      <c r="H5" s="242" t="s">
        <v>5</v>
      </c>
      <c r="I5" s="242"/>
      <c r="J5" s="242" t="s">
        <v>6</v>
      </c>
      <c r="K5" s="242"/>
      <c r="L5" s="242" t="s">
        <v>7</v>
      </c>
      <c r="M5" s="242"/>
    </row>
    <row r="6" spans="2:13" ht="12.75">
      <c r="B6" s="6" t="s">
        <v>8</v>
      </c>
      <c r="C6" s="7" t="s">
        <v>9</v>
      </c>
      <c r="D6" s="6" t="s">
        <v>10</v>
      </c>
      <c r="E6" s="7" t="s">
        <v>9</v>
      </c>
      <c r="F6" s="6" t="s">
        <v>10</v>
      </c>
      <c r="G6" s="7" t="s">
        <v>9</v>
      </c>
      <c r="H6" s="6" t="s">
        <v>10</v>
      </c>
      <c r="I6" s="7" t="s">
        <v>9</v>
      </c>
      <c r="J6" s="6" t="s">
        <v>10</v>
      </c>
      <c r="K6" s="7" t="s">
        <v>9</v>
      </c>
      <c r="L6" s="6" t="s">
        <v>10</v>
      </c>
      <c r="M6" s="7" t="s">
        <v>9</v>
      </c>
    </row>
    <row r="7" spans="2:13" ht="12.75">
      <c r="B7" s="8">
        <f>1000000*E2</f>
        <v>25000000</v>
      </c>
      <c r="C7" s="9">
        <f>+B7</f>
        <v>25000000</v>
      </c>
      <c r="D7" s="10">
        <v>0.04</v>
      </c>
      <c r="E7" s="9">
        <f>+$B$7*D7</f>
        <v>1000000</v>
      </c>
      <c r="F7" s="10">
        <v>0.065</v>
      </c>
      <c r="G7" s="9">
        <f>+$B$7*F7</f>
        <v>1625000</v>
      </c>
      <c r="H7" s="10">
        <v>0.075</v>
      </c>
      <c r="I7" s="9">
        <f>+$B$7*H7</f>
        <v>1875000</v>
      </c>
      <c r="J7" s="10">
        <v>0.08</v>
      </c>
      <c r="K7" s="9">
        <f>+$B$7*J7</f>
        <v>2000000</v>
      </c>
      <c r="L7" s="10">
        <v>0.085</v>
      </c>
      <c r="M7" s="9">
        <f>+$B$7*L7</f>
        <v>2125000</v>
      </c>
    </row>
    <row r="8" spans="2:13" ht="12.75">
      <c r="B8" s="8">
        <f>4000000*E2</f>
        <v>100000000</v>
      </c>
      <c r="C8" s="9">
        <f>+C7+B8</f>
        <v>125000000</v>
      </c>
      <c r="D8" s="10">
        <f>+D7-0.005</f>
        <v>0.035</v>
      </c>
      <c r="E8" s="9">
        <f>+($C8-$C7)*D8+E7</f>
        <v>4500000</v>
      </c>
      <c r="F8" s="10">
        <f>+F7-0.005</f>
        <v>0.060000000000000005</v>
      </c>
      <c r="G8" s="9">
        <f>+($C8-$C7)*F8+G7</f>
        <v>7625000.000000001</v>
      </c>
      <c r="H8" s="10">
        <f>+H7-0.005</f>
        <v>0.06999999999999999</v>
      </c>
      <c r="I8" s="9">
        <f>+($C8-$C7)*H8+I7</f>
        <v>8875000</v>
      </c>
      <c r="J8" s="10">
        <f>+J7-0.005</f>
        <v>0.075</v>
      </c>
      <c r="K8" s="9">
        <f>+($C8-$C7)*J8+K7</f>
        <v>9500000</v>
      </c>
      <c r="L8" s="10">
        <f>+L7-0.005</f>
        <v>0.08</v>
      </c>
      <c r="M8" s="9">
        <f>+($C8-$C7)*L8+M7</f>
        <v>10125000</v>
      </c>
    </row>
    <row r="9" spans="2:13" ht="12.75">
      <c r="B9" s="8">
        <f>5000000*E2</f>
        <v>125000000</v>
      </c>
      <c r="C9" s="9">
        <f>+C8+B9</f>
        <v>250000000</v>
      </c>
      <c r="D9" s="10">
        <f>+D8-0.005</f>
        <v>0.030000000000000002</v>
      </c>
      <c r="E9" s="9">
        <f>+($C9-$C8)*D9+E8</f>
        <v>8250000</v>
      </c>
      <c r="F9" s="10">
        <f>+F8-0.005</f>
        <v>0.05500000000000001</v>
      </c>
      <c r="G9" s="9">
        <f>+($C9-$C8)*F9+G8</f>
        <v>14500000.000000002</v>
      </c>
      <c r="H9" s="10">
        <f>+H8-0.005</f>
        <v>0.06499999999999999</v>
      </c>
      <c r="I9" s="9">
        <f>+($C9-$C8)*H9+I8</f>
        <v>17000000</v>
      </c>
      <c r="J9" s="10">
        <f>+J8-0.005</f>
        <v>0.06999999999999999</v>
      </c>
      <c r="K9" s="9">
        <f>+($C9-$C8)*J9+K8</f>
        <v>18250000</v>
      </c>
      <c r="L9" s="10">
        <f>+L8-0.005</f>
        <v>0.075</v>
      </c>
      <c r="M9" s="9">
        <f>+($C9-$C8)*L9+M8</f>
        <v>19500000</v>
      </c>
    </row>
    <row r="10" spans="2:13" ht="12.75">
      <c r="B10" s="8">
        <f>20000000*E2</f>
        <v>500000000</v>
      </c>
      <c r="C10" s="9">
        <f>+C9+B10</f>
        <v>750000000</v>
      </c>
      <c r="D10" s="10">
        <f>+D9-0.005</f>
        <v>0.025</v>
      </c>
      <c r="E10" s="9">
        <f>+($C10-$C9)*D10+E9</f>
        <v>20750000</v>
      </c>
      <c r="F10" s="10">
        <f>+F9-0.005</f>
        <v>0.05000000000000001</v>
      </c>
      <c r="G10" s="9">
        <f>+($C10-$C9)*F10+G9</f>
        <v>39500000.00000001</v>
      </c>
      <c r="H10" s="10">
        <f>+H9-0.005</f>
        <v>0.05999999999999999</v>
      </c>
      <c r="I10" s="9">
        <f>+($C10-$C9)*H10+I9</f>
        <v>47000000</v>
      </c>
      <c r="J10" s="10">
        <f>+J9-0.005</f>
        <v>0.06499999999999999</v>
      </c>
      <c r="K10" s="9">
        <f>+($C10-$C9)*J10+K9</f>
        <v>50749999.99999999</v>
      </c>
      <c r="L10" s="10">
        <f>+L9-0.005</f>
        <v>0.06999999999999999</v>
      </c>
      <c r="M10" s="9">
        <f>+($C10-$C9)*L10+M9</f>
        <v>54500000</v>
      </c>
    </row>
    <row r="11" spans="2:13" ht="12.75">
      <c r="B11" s="8">
        <f>70000000*E2</f>
        <v>1750000000</v>
      </c>
      <c r="C11" s="9">
        <f>+C10+B11</f>
        <v>2500000000</v>
      </c>
      <c r="D11" s="10">
        <f>+D10-0.005</f>
        <v>0.02</v>
      </c>
      <c r="E11" s="9">
        <f>+($C11-$C10)*D11+E10</f>
        <v>55750000</v>
      </c>
      <c r="F11" s="10">
        <f>+F10-0.005</f>
        <v>0.04500000000000001</v>
      </c>
      <c r="G11" s="9">
        <f>+($C11-$C10)*F11+G10</f>
        <v>118250000.00000003</v>
      </c>
      <c r="H11" s="10">
        <f>+H10-0.005</f>
        <v>0.05499999999999999</v>
      </c>
      <c r="I11" s="9">
        <f>+($C11-$C10)*H11+I10</f>
        <v>143250000</v>
      </c>
      <c r="J11" s="10">
        <f>+J10-0.005</f>
        <v>0.05999999999999999</v>
      </c>
      <c r="K11" s="9">
        <f>+($C11-$C10)*J11+K10</f>
        <v>155749999.99999997</v>
      </c>
      <c r="L11" s="10">
        <f>+L10-0.005</f>
        <v>0.06499999999999999</v>
      </c>
      <c r="M11" s="9">
        <f>+($C11-$C10)*L11+M10</f>
        <v>168250000</v>
      </c>
    </row>
    <row r="12" spans="2:13" ht="12.75">
      <c r="B12" s="11"/>
      <c r="C12" s="12" t="s">
        <v>11</v>
      </c>
      <c r="D12" s="13">
        <f>+D11-0.005</f>
        <v>0.015</v>
      </c>
      <c r="E12" s="14"/>
      <c r="F12" s="13">
        <f>+F11-0.005</f>
        <v>0.040000000000000015</v>
      </c>
      <c r="G12" s="14"/>
      <c r="H12" s="13">
        <f>+H11-0.005</f>
        <v>0.049999999999999996</v>
      </c>
      <c r="I12" s="14"/>
      <c r="J12" s="13">
        <f>+J11-0.005</f>
        <v>0.05499999999999999</v>
      </c>
      <c r="K12" s="14"/>
      <c r="L12" s="13">
        <f>+L11-0.005</f>
        <v>0.05999999999999999</v>
      </c>
      <c r="M12" s="14"/>
    </row>
    <row r="13" ht="7.5" customHeight="1"/>
    <row r="14" spans="2:13" ht="12.75">
      <c r="B14" s="242" t="s">
        <v>2</v>
      </c>
      <c r="C14" s="242"/>
      <c r="D14" s="242" t="s">
        <v>12</v>
      </c>
      <c r="E14" s="242"/>
      <c r="F14" s="242" t="s">
        <v>13</v>
      </c>
      <c r="G14" s="242"/>
      <c r="H14" s="242" t="s">
        <v>14</v>
      </c>
      <c r="I14" s="242"/>
      <c r="J14" s="242" t="s">
        <v>15</v>
      </c>
      <c r="K14" s="242"/>
      <c r="L14" s="242" t="s">
        <v>16</v>
      </c>
      <c r="M14" s="242"/>
    </row>
    <row r="15" spans="2:13" ht="12.75">
      <c r="B15" s="6" t="s">
        <v>8</v>
      </c>
      <c r="C15" s="7" t="s">
        <v>9</v>
      </c>
      <c r="D15" s="6" t="s">
        <v>10</v>
      </c>
      <c r="E15" s="7" t="s">
        <v>9</v>
      </c>
      <c r="F15" s="6" t="s">
        <v>10</v>
      </c>
      <c r="G15" s="7" t="s">
        <v>9</v>
      </c>
      <c r="H15" s="6" t="s">
        <v>10</v>
      </c>
      <c r="I15" s="7" t="s">
        <v>9</v>
      </c>
      <c r="J15" s="6" t="s">
        <v>10</v>
      </c>
      <c r="K15" s="7" t="s">
        <v>9</v>
      </c>
      <c r="L15" s="6" t="s">
        <v>10</v>
      </c>
      <c r="M15" s="7" t="s">
        <v>9</v>
      </c>
    </row>
    <row r="16" spans="2:13" ht="12.75">
      <c r="B16" s="8">
        <f>1000000*E2</f>
        <v>25000000</v>
      </c>
      <c r="C16" s="9">
        <f>+B16</f>
        <v>25000000</v>
      </c>
      <c r="D16" s="10">
        <v>0.05</v>
      </c>
      <c r="E16" s="9">
        <f>+$B$7*D16</f>
        <v>1250000</v>
      </c>
      <c r="F16" s="10">
        <v>0.06</v>
      </c>
      <c r="G16" s="9">
        <f>+$B$7*F16</f>
        <v>1500000</v>
      </c>
      <c r="H16" s="10">
        <v>0.07</v>
      </c>
      <c r="I16" s="9">
        <f>+$B$7*H16</f>
        <v>1750000.0000000002</v>
      </c>
      <c r="J16" s="10">
        <v>0.1</v>
      </c>
      <c r="K16" s="9">
        <f>+$B$7*J16</f>
        <v>2500000</v>
      </c>
      <c r="L16" s="10">
        <v>0.15</v>
      </c>
      <c r="M16" s="9">
        <f>+$B$7*L16</f>
        <v>3750000</v>
      </c>
    </row>
    <row r="17" spans="2:13" ht="12.75">
      <c r="B17" s="8">
        <f>4000000*E2</f>
        <v>100000000</v>
      </c>
      <c r="C17" s="9">
        <f>+C16+B17</f>
        <v>125000000</v>
      </c>
      <c r="D17" s="10">
        <f>+D16-0.005</f>
        <v>0.045000000000000005</v>
      </c>
      <c r="E17" s="9">
        <f>+($C17-$C16)*D17+E16</f>
        <v>5750000.000000001</v>
      </c>
      <c r="F17" s="10">
        <f>+F16-0.005</f>
        <v>0.055</v>
      </c>
      <c r="G17" s="9">
        <f>+($C17-$C16)*F17+G16</f>
        <v>7000000</v>
      </c>
      <c r="H17" s="10">
        <f>+H16-0.005</f>
        <v>0.065</v>
      </c>
      <c r="I17" s="9">
        <f>+($C17-$C16)*H17+I16</f>
        <v>8250000</v>
      </c>
      <c r="J17" s="10">
        <f>+J16-0.005</f>
        <v>0.095</v>
      </c>
      <c r="K17" s="9">
        <f>+($C17-$C16)*J17+K16</f>
        <v>12000000</v>
      </c>
      <c r="L17" s="10">
        <f>+L16-0.01</f>
        <v>0.13999999999999999</v>
      </c>
      <c r="M17" s="9">
        <f>+($C17-$C16)*L17+M16</f>
        <v>17750000</v>
      </c>
    </row>
    <row r="18" spans="2:13" ht="12.75">
      <c r="B18" s="8">
        <f>5000000*E2</f>
        <v>125000000</v>
      </c>
      <c r="C18" s="9">
        <f>+C17+B18</f>
        <v>250000000</v>
      </c>
      <c r="D18" s="10">
        <f>+D17-0.005</f>
        <v>0.04000000000000001</v>
      </c>
      <c r="E18" s="9">
        <f>+($C18-$C17)*D18+E17</f>
        <v>10750000.000000002</v>
      </c>
      <c r="F18" s="10">
        <f>+F17-0.005</f>
        <v>0.05</v>
      </c>
      <c r="G18" s="9">
        <f>+($C18-$C17)*F18+G17</f>
        <v>13250000</v>
      </c>
      <c r="H18" s="10">
        <f>+H17-0.005</f>
        <v>0.060000000000000005</v>
      </c>
      <c r="I18" s="9">
        <f>+($C18-$C17)*H18+I17</f>
        <v>15750000</v>
      </c>
      <c r="J18" s="10">
        <f>+J17-0.005</f>
        <v>0.09</v>
      </c>
      <c r="K18" s="9">
        <f>+($C18-$C17)*J18+K17</f>
        <v>23250000</v>
      </c>
      <c r="L18" s="10">
        <f>+L17-0.01</f>
        <v>0.12999999999999998</v>
      </c>
      <c r="M18" s="9">
        <f>+($C18-$C17)*L18+M17</f>
        <v>34000000</v>
      </c>
    </row>
    <row r="19" spans="2:13" ht="12.75">
      <c r="B19" s="8">
        <f>20000000*E2</f>
        <v>500000000</v>
      </c>
      <c r="C19" s="9">
        <f>+C18+B19</f>
        <v>750000000</v>
      </c>
      <c r="D19" s="15">
        <v>0.0375</v>
      </c>
      <c r="E19" s="9">
        <f>+($C19-$C18)*D19+E18</f>
        <v>29500000</v>
      </c>
      <c r="F19" s="10">
        <f>+F18-0.005</f>
        <v>0.045000000000000005</v>
      </c>
      <c r="G19" s="9">
        <f>+($C19-$C18)*F19+G18</f>
        <v>35750000</v>
      </c>
      <c r="H19" s="10">
        <f>+H18-0.005</f>
        <v>0.05500000000000001</v>
      </c>
      <c r="I19" s="9">
        <f>+($C19-$C18)*H19+I18</f>
        <v>43250000</v>
      </c>
      <c r="J19" s="10">
        <f>+J18-0.005</f>
        <v>0.08499999999999999</v>
      </c>
      <c r="K19" s="9">
        <f>+($C19-$C18)*J19+K18</f>
        <v>65749999.99999999</v>
      </c>
      <c r="L19" s="10">
        <f>+L18-0.01</f>
        <v>0.11999999999999998</v>
      </c>
      <c r="M19" s="9">
        <f>+($C19-$C18)*L19+M18</f>
        <v>94000000</v>
      </c>
    </row>
    <row r="20" spans="2:13" ht="12.75">
      <c r="B20" s="8">
        <f>70000000*E2</f>
        <v>1750000000</v>
      </c>
      <c r="C20" s="9">
        <f>+C19+B20</f>
        <v>2500000000</v>
      </c>
      <c r="D20" s="10">
        <v>0.035</v>
      </c>
      <c r="E20" s="9">
        <f>+($C20-$C19)*D20+E19</f>
        <v>90750000</v>
      </c>
      <c r="F20" s="10">
        <f>+F19-0.005</f>
        <v>0.04000000000000001</v>
      </c>
      <c r="G20" s="9">
        <f>+($C20-$C19)*F20+G19</f>
        <v>105750000.00000001</v>
      </c>
      <c r="H20" s="10">
        <f>+H19-0.005</f>
        <v>0.05000000000000001</v>
      </c>
      <c r="I20" s="9">
        <f>+($C20-$C19)*H20+I19</f>
        <v>130750000.00000001</v>
      </c>
      <c r="J20" s="10">
        <f>+J19-0.005</f>
        <v>0.07999999999999999</v>
      </c>
      <c r="K20" s="9">
        <f>+($C20-$C19)*J20+K19</f>
        <v>205749999.99999997</v>
      </c>
      <c r="L20" s="10">
        <f>+L19-0.01</f>
        <v>0.10999999999999999</v>
      </c>
      <c r="M20" s="9">
        <f>+($C20-$C19)*L20+M19</f>
        <v>286500000</v>
      </c>
    </row>
    <row r="21" spans="2:13" ht="12.75">
      <c r="B21" s="11"/>
      <c r="C21" s="12" t="s">
        <v>11</v>
      </c>
      <c r="D21" s="16">
        <v>0.0325</v>
      </c>
      <c r="E21" s="14"/>
      <c r="F21" s="13">
        <f>+F20-0.005</f>
        <v>0.03500000000000001</v>
      </c>
      <c r="G21" s="14"/>
      <c r="H21" s="13">
        <f>+H20-0.005</f>
        <v>0.04500000000000001</v>
      </c>
      <c r="I21" s="14"/>
      <c r="J21" s="13">
        <f>+J20-0.005</f>
        <v>0.07499999999999998</v>
      </c>
      <c r="K21" s="14"/>
      <c r="L21" s="13">
        <f>+L20-0.01</f>
        <v>0.09999999999999999</v>
      </c>
      <c r="M21" s="14"/>
    </row>
    <row r="22" spans="2:13" ht="12.75">
      <c r="B22" s="17"/>
      <c r="C22" s="18"/>
      <c r="D22" s="19"/>
      <c r="E22" s="17"/>
      <c r="F22" s="20"/>
      <c r="G22" s="17"/>
      <c r="H22" s="20"/>
      <c r="I22" s="17"/>
      <c r="J22" s="20"/>
      <c r="K22" s="17"/>
      <c r="L22" s="20"/>
      <c r="M22" s="17"/>
    </row>
    <row r="24" spans="2:5" ht="15.75">
      <c r="B24" s="237" t="s">
        <v>17</v>
      </c>
      <c r="C24" s="237"/>
      <c r="D24" s="237"/>
      <c r="E24" s="237"/>
    </row>
    <row r="25" spans="2:5" ht="12.75">
      <c r="B25" s="239" t="s">
        <v>2</v>
      </c>
      <c r="C25" s="239"/>
      <c r="D25" s="242" t="s">
        <v>18</v>
      </c>
      <c r="E25" s="242"/>
    </row>
    <row r="26" spans="2:5" ht="12.75">
      <c r="B26" s="21" t="s">
        <v>8</v>
      </c>
      <c r="C26" s="22" t="s">
        <v>9</v>
      </c>
      <c r="D26" s="23" t="s">
        <v>10</v>
      </c>
      <c r="E26" s="24" t="s">
        <v>9</v>
      </c>
    </row>
    <row r="27" spans="2:5" ht="12.75">
      <c r="B27" s="8">
        <f>1000000*E2</f>
        <v>25000000</v>
      </c>
      <c r="C27" s="9">
        <f>+B27</f>
        <v>25000000</v>
      </c>
      <c r="D27" s="10">
        <v>0.05</v>
      </c>
      <c r="E27" s="9">
        <f>+D27*B27</f>
        <v>1250000</v>
      </c>
    </row>
    <row r="28" spans="2:5" ht="12.75">
      <c r="B28" s="8">
        <f>4000000*E2</f>
        <v>100000000</v>
      </c>
      <c r="C28" s="9">
        <f aca="true" t="shared" si="0" ref="C28:C33">+C27+B28</f>
        <v>125000000</v>
      </c>
      <c r="D28" s="10">
        <v>0.04</v>
      </c>
      <c r="E28" s="9">
        <f aca="true" t="shared" si="1" ref="E28:E33">+(C28-C27)*D28+E27</f>
        <v>5250000</v>
      </c>
    </row>
    <row r="29" spans="2:5" ht="12.75">
      <c r="B29" s="8">
        <f>5000000*E2</f>
        <v>125000000</v>
      </c>
      <c r="C29" s="9">
        <f t="shared" si="0"/>
        <v>250000000</v>
      </c>
      <c r="D29" s="10">
        <v>0.03</v>
      </c>
      <c r="E29" s="9">
        <f t="shared" si="1"/>
        <v>9000000</v>
      </c>
    </row>
    <row r="30" spans="2:5" ht="12.75">
      <c r="B30" s="8">
        <f>10000000*E2</f>
        <v>250000000</v>
      </c>
      <c r="C30" s="9">
        <f t="shared" si="0"/>
        <v>500000000</v>
      </c>
      <c r="D30" s="10">
        <v>0.025</v>
      </c>
      <c r="E30" s="9">
        <f t="shared" si="1"/>
        <v>15250000</v>
      </c>
    </row>
    <row r="31" spans="2:5" ht="12.75">
      <c r="B31" s="8">
        <f>20000000*E2</f>
        <v>500000000</v>
      </c>
      <c r="C31" s="9">
        <f t="shared" si="0"/>
        <v>1000000000</v>
      </c>
      <c r="D31" s="10">
        <v>0.02</v>
      </c>
      <c r="E31" s="9">
        <f t="shared" si="1"/>
        <v>25250000</v>
      </c>
    </row>
    <row r="32" spans="2:5" ht="12.75">
      <c r="B32" s="8">
        <f>40000000*E2</f>
        <v>1000000000</v>
      </c>
      <c r="C32" s="9">
        <f t="shared" si="0"/>
        <v>2000000000</v>
      </c>
      <c r="D32" s="10">
        <v>0.015</v>
      </c>
      <c r="E32" s="9">
        <f t="shared" si="1"/>
        <v>40250000</v>
      </c>
    </row>
    <row r="33" spans="2:5" ht="12.75">
      <c r="B33" s="8">
        <f>80000000*E2</f>
        <v>2000000000</v>
      </c>
      <c r="C33" s="9">
        <f t="shared" si="0"/>
        <v>4000000000</v>
      </c>
      <c r="D33" s="10">
        <v>0.01</v>
      </c>
      <c r="E33" s="9">
        <f t="shared" si="1"/>
        <v>60250000</v>
      </c>
    </row>
    <row r="34" spans="2:5" ht="12.75">
      <c r="B34" s="11"/>
      <c r="C34" s="12" t="s">
        <v>11</v>
      </c>
      <c r="D34" s="13">
        <f>+D33-0.005</f>
        <v>0.005</v>
      </c>
      <c r="E34" s="25"/>
    </row>
    <row r="37" spans="2:5" ht="15.75">
      <c r="B37" s="237" t="s">
        <v>19</v>
      </c>
      <c r="C37" s="237"/>
      <c r="D37" s="237"/>
      <c r="E37" s="237"/>
    </row>
    <row r="38" spans="2:5" ht="12.75">
      <c r="B38" s="239" t="s">
        <v>2</v>
      </c>
      <c r="C38" s="239"/>
      <c r="D38" s="242" t="s">
        <v>18</v>
      </c>
      <c r="E38" s="242"/>
    </row>
    <row r="39" spans="2:5" ht="12.75">
      <c r="B39" s="21" t="s">
        <v>8</v>
      </c>
      <c r="C39" s="22" t="s">
        <v>9</v>
      </c>
      <c r="D39" s="23" t="s">
        <v>10</v>
      </c>
      <c r="E39" s="24" t="s">
        <v>9</v>
      </c>
    </row>
    <row r="40" spans="2:5" ht="12.75">
      <c r="B40" s="8">
        <f>1000000*E2</f>
        <v>25000000</v>
      </c>
      <c r="C40" s="9">
        <f>+B40</f>
        <v>25000000</v>
      </c>
      <c r="D40" s="10">
        <v>0.035</v>
      </c>
      <c r="E40" s="26">
        <f>+D40*B40</f>
        <v>875000.0000000001</v>
      </c>
    </row>
    <row r="41" spans="2:7" ht="12.75">
      <c r="B41" s="8">
        <f>4000000*E2</f>
        <v>100000000</v>
      </c>
      <c r="C41" s="9">
        <f aca="true" t="shared" si="2" ref="C41:C46">+C40+B41</f>
        <v>125000000</v>
      </c>
      <c r="D41" s="10">
        <v>0.028</v>
      </c>
      <c r="E41" s="26">
        <f aca="true" t="shared" si="3" ref="E41:E46">+(C41-C40)*D41+E40</f>
        <v>3675000</v>
      </c>
      <c r="G41" s="27"/>
    </row>
    <row r="42" spans="2:7" ht="12.75">
      <c r="B42" s="8">
        <f>5000000*E2</f>
        <v>125000000</v>
      </c>
      <c r="C42" s="9">
        <f t="shared" si="2"/>
        <v>250000000</v>
      </c>
      <c r="D42" s="10">
        <v>0.022</v>
      </c>
      <c r="E42" s="26">
        <f t="shared" si="3"/>
        <v>6425000</v>
      </c>
      <c r="G42" s="27"/>
    </row>
    <row r="43" spans="2:7" ht="12.75">
      <c r="B43" s="8">
        <f>10000000*E2</f>
        <v>250000000</v>
      </c>
      <c r="C43" s="9">
        <f t="shared" si="2"/>
        <v>500000000</v>
      </c>
      <c r="D43" s="10">
        <v>0.017</v>
      </c>
      <c r="E43" s="26">
        <f t="shared" si="3"/>
        <v>10675000</v>
      </c>
      <c r="G43" s="27"/>
    </row>
    <row r="44" spans="2:7" ht="12.75">
      <c r="B44" s="8">
        <f>20000000*E2</f>
        <v>500000000</v>
      </c>
      <c r="C44" s="9">
        <f t="shared" si="2"/>
        <v>1000000000</v>
      </c>
      <c r="D44" s="10">
        <v>0.013</v>
      </c>
      <c r="E44" s="26">
        <f t="shared" si="3"/>
        <v>17175000</v>
      </c>
      <c r="G44" s="27"/>
    </row>
    <row r="45" spans="2:7" ht="12.75">
      <c r="B45" s="8">
        <f>40000000*E2</f>
        <v>1000000000</v>
      </c>
      <c r="C45" s="9">
        <f t="shared" si="2"/>
        <v>2000000000</v>
      </c>
      <c r="D45" s="10">
        <v>0.01</v>
      </c>
      <c r="E45" s="26">
        <f t="shared" si="3"/>
        <v>27175000</v>
      </c>
      <c r="G45" s="27"/>
    </row>
    <row r="46" spans="2:5" ht="12.75">
      <c r="B46" s="8">
        <f>80000000*E2</f>
        <v>2000000000</v>
      </c>
      <c r="C46" s="9">
        <f t="shared" si="2"/>
        <v>4000000000</v>
      </c>
      <c r="D46" s="10">
        <v>0.007</v>
      </c>
      <c r="E46" s="26">
        <f t="shared" si="3"/>
        <v>41175000</v>
      </c>
    </row>
    <row r="47" spans="2:5" ht="12.75">
      <c r="B47" s="11"/>
      <c r="C47" s="12" t="s">
        <v>11</v>
      </c>
      <c r="D47" s="13">
        <v>0.003</v>
      </c>
      <c r="E47" s="25"/>
    </row>
    <row r="48" spans="2:5" ht="12.75">
      <c r="B48" s="17"/>
      <c r="C48" s="18"/>
      <c r="D48" s="20"/>
      <c r="E48" s="28"/>
    </row>
    <row r="50" spans="2:7" ht="15.75">
      <c r="B50" s="237" t="s">
        <v>20</v>
      </c>
      <c r="C50" s="237"/>
      <c r="D50" s="237"/>
      <c r="E50" s="237"/>
      <c r="F50" s="237"/>
      <c r="G50" s="237"/>
    </row>
    <row r="51" spans="2:7" ht="12.75">
      <c r="B51" s="239" t="s">
        <v>2</v>
      </c>
      <c r="C51" s="239"/>
      <c r="D51" s="239" t="s">
        <v>21</v>
      </c>
      <c r="E51" s="239"/>
      <c r="F51" s="239" t="s">
        <v>22</v>
      </c>
      <c r="G51" s="239"/>
    </row>
    <row r="52" spans="2:7" ht="12.75">
      <c r="B52" s="21" t="s">
        <v>8</v>
      </c>
      <c r="C52" s="22" t="s">
        <v>9</v>
      </c>
      <c r="D52" s="23" t="s">
        <v>10</v>
      </c>
      <c r="E52" s="24" t="s">
        <v>9</v>
      </c>
      <c r="F52" s="23" t="s">
        <v>10</v>
      </c>
      <c r="G52" s="24" t="s">
        <v>9</v>
      </c>
    </row>
    <row r="53" spans="2:7" ht="12.75">
      <c r="B53" s="8">
        <f>200000*E2</f>
        <v>5000000</v>
      </c>
      <c r="C53" s="9">
        <f>+B53</f>
        <v>5000000</v>
      </c>
      <c r="D53" s="15">
        <v>0.0125</v>
      </c>
      <c r="E53" s="29">
        <f>+D53*B53</f>
        <v>62500</v>
      </c>
      <c r="F53" s="15">
        <v>0.0225</v>
      </c>
      <c r="G53" s="29">
        <f>+F53*C53</f>
        <v>112500</v>
      </c>
    </row>
    <row r="54" spans="2:7" ht="12.75">
      <c r="B54" s="8">
        <f>800000*E2</f>
        <v>20000000</v>
      </c>
      <c r="C54" s="9">
        <f>+C53+B54</f>
        <v>25000000</v>
      </c>
      <c r="D54" s="10">
        <v>0.01</v>
      </c>
      <c r="E54" s="29">
        <f>+(C54-C53)*D54+E53</f>
        <v>262500</v>
      </c>
      <c r="F54" s="10">
        <v>0.017</v>
      </c>
      <c r="G54" s="29">
        <f>+(C54-C53)*F54+G53</f>
        <v>452500</v>
      </c>
    </row>
    <row r="55" spans="2:7" ht="12.75">
      <c r="B55" s="8">
        <f>1000000*E2</f>
        <v>25000000</v>
      </c>
      <c r="C55" s="9">
        <f>+C54+B55</f>
        <v>50000000</v>
      </c>
      <c r="D55" s="10">
        <v>0.007</v>
      </c>
      <c r="E55" s="29">
        <f>+(C55-C54)*D55+E54</f>
        <v>437500</v>
      </c>
      <c r="F55" s="10">
        <v>0.012</v>
      </c>
      <c r="G55" s="29">
        <f>+(C55-C54)*F55+G54</f>
        <v>752500</v>
      </c>
    </row>
    <row r="56" spans="2:7" ht="12.75">
      <c r="B56" s="8">
        <f>3000000*E2</f>
        <v>75000000</v>
      </c>
      <c r="C56" s="9">
        <f>+C55+B56</f>
        <v>125000000</v>
      </c>
      <c r="D56" s="10">
        <v>0.005</v>
      </c>
      <c r="E56" s="29">
        <f>+(C56-C55)*D56+E55</f>
        <v>812500</v>
      </c>
      <c r="F56" s="10">
        <v>0.009</v>
      </c>
      <c r="G56" s="29">
        <f>+(C56-C55)*F56+G55</f>
        <v>1427500</v>
      </c>
    </row>
    <row r="57" spans="2:7" ht="12.75">
      <c r="B57" s="11"/>
      <c r="C57" s="12" t="s">
        <v>11</v>
      </c>
      <c r="D57" s="13">
        <v>0.003</v>
      </c>
      <c r="E57" s="25"/>
      <c r="F57" s="13">
        <v>0.006</v>
      </c>
      <c r="G57" s="25"/>
    </row>
    <row r="60" spans="2:5" ht="15.75">
      <c r="B60" s="237" t="s">
        <v>23</v>
      </c>
      <c r="C60" s="237"/>
      <c r="D60" s="237"/>
      <c r="E60" s="237"/>
    </row>
    <row r="61" spans="2:5" ht="12.75">
      <c r="B61" s="30" t="s">
        <v>24</v>
      </c>
      <c r="C61" s="31">
        <f>1000*E2</f>
        <v>25000</v>
      </c>
      <c r="D61" s="32" t="s">
        <v>25</v>
      </c>
      <c r="E61" s="33">
        <f>500*E2+2000*E2+3000*E2</f>
        <v>137500</v>
      </c>
    </row>
    <row r="62" spans="2:5" ht="12.75">
      <c r="B62" s="239" t="s">
        <v>2</v>
      </c>
      <c r="C62" s="239"/>
      <c r="D62" s="239" t="s">
        <v>26</v>
      </c>
      <c r="E62" s="239"/>
    </row>
    <row r="63" spans="2:5" ht="12.75">
      <c r="B63" s="21" t="s">
        <v>8</v>
      </c>
      <c r="C63" s="22" t="s">
        <v>9</v>
      </c>
      <c r="D63" s="23" t="s">
        <v>10</v>
      </c>
      <c r="E63" s="24" t="s">
        <v>9</v>
      </c>
    </row>
    <row r="64" spans="2:5" ht="12.75">
      <c r="B64" s="8">
        <f>100000*E2</f>
        <v>2500000</v>
      </c>
      <c r="C64" s="9">
        <f>+B64</f>
        <v>2500000</v>
      </c>
      <c r="D64" s="10">
        <v>0.02</v>
      </c>
      <c r="E64" s="29">
        <f>+D64*C64</f>
        <v>50000</v>
      </c>
    </row>
    <row r="65" spans="2:5" ht="12.75">
      <c r="B65" s="8">
        <f>400000*E2</f>
        <v>10000000</v>
      </c>
      <c r="C65" s="9">
        <f>+C64+B65</f>
        <v>12500000</v>
      </c>
      <c r="D65" s="10">
        <v>0.015</v>
      </c>
      <c r="E65" s="29">
        <f>+(C65-C64)*D65+E64</f>
        <v>200000</v>
      </c>
    </row>
    <row r="66" spans="2:5" ht="12.75">
      <c r="B66" s="8">
        <f>500000*E2</f>
        <v>12500000</v>
      </c>
      <c r="C66" s="9">
        <f>+C65+B66</f>
        <v>25000000</v>
      </c>
      <c r="D66" s="10">
        <v>0.01</v>
      </c>
      <c r="E66" s="29">
        <f>+(C66-C65)*D66+E65</f>
        <v>325000</v>
      </c>
    </row>
    <row r="67" spans="2:5" ht="12.75">
      <c r="B67" s="8">
        <f>9000000*E2</f>
        <v>225000000</v>
      </c>
      <c r="C67" s="9">
        <f>+C66+B67</f>
        <v>250000000</v>
      </c>
      <c r="D67" s="10">
        <v>0.008</v>
      </c>
      <c r="E67" s="29">
        <f>+(C67-C66)*D67+E66</f>
        <v>2125000</v>
      </c>
    </row>
    <row r="68" spans="2:6" ht="12.75">
      <c r="B68" s="11"/>
      <c r="C68" s="12" t="s">
        <v>11</v>
      </c>
      <c r="D68" s="13">
        <v>0.005</v>
      </c>
      <c r="E68" s="34"/>
      <c r="F68" s="35"/>
    </row>
    <row r="71" spans="2:5" ht="15.75">
      <c r="B71" s="237" t="s">
        <v>27</v>
      </c>
      <c r="C71" s="237"/>
      <c r="D71" s="237"/>
      <c r="E71" s="237"/>
    </row>
    <row r="72" spans="2:5" ht="12.75">
      <c r="B72" s="238" t="s">
        <v>2</v>
      </c>
      <c r="C72" s="238"/>
      <c r="D72" s="239"/>
      <c r="E72" s="239"/>
    </row>
    <row r="73" spans="2:5" ht="12.75">
      <c r="B73" s="6" t="s">
        <v>8</v>
      </c>
      <c r="C73" s="7" t="s">
        <v>9</v>
      </c>
      <c r="D73" s="23" t="s">
        <v>10</v>
      </c>
      <c r="E73" s="24" t="s">
        <v>9</v>
      </c>
    </row>
    <row r="74" spans="2:5" ht="12.75">
      <c r="B74" s="8">
        <f>200000*E2</f>
        <v>5000000</v>
      </c>
      <c r="C74" s="9">
        <f>+B74</f>
        <v>5000000</v>
      </c>
      <c r="D74" s="10"/>
      <c r="E74" s="29">
        <v>56</v>
      </c>
    </row>
    <row r="75" spans="2:5" ht="12.75">
      <c r="B75" s="8">
        <f>800000*E2</f>
        <v>20000000</v>
      </c>
      <c r="C75" s="9">
        <f>+C74+B75</f>
        <v>25000000</v>
      </c>
      <c r="D75" s="10">
        <v>0.02</v>
      </c>
      <c r="E75" s="29">
        <f>+(C75-C74)*D75+E74</f>
        <v>400056</v>
      </c>
    </row>
    <row r="76" spans="2:5" ht="12.75">
      <c r="B76" s="8">
        <f>1000000*E2</f>
        <v>25000000</v>
      </c>
      <c r="C76" s="9">
        <f>+C75+B76</f>
        <v>50000000</v>
      </c>
      <c r="D76" s="10">
        <v>0.015</v>
      </c>
      <c r="E76" s="29">
        <f>+(C76-C75)*D76+E75</f>
        <v>775056</v>
      </c>
    </row>
    <row r="77" spans="2:5" ht="12.75">
      <c r="B77" s="8">
        <f>3000000*E2</f>
        <v>75000000</v>
      </c>
      <c r="C77" s="9">
        <f>+C76+B77</f>
        <v>125000000</v>
      </c>
      <c r="D77" s="10">
        <v>0.01</v>
      </c>
      <c r="E77" s="29">
        <f>+(C77-C76)*D77+E76</f>
        <v>1525056</v>
      </c>
    </row>
    <row r="78" spans="2:5" ht="12.75">
      <c r="B78" s="11"/>
      <c r="C78" s="12" t="s">
        <v>11</v>
      </c>
      <c r="D78" s="13">
        <v>0.005</v>
      </c>
      <c r="E78" s="25"/>
    </row>
    <row r="81" spans="2:5" ht="15.75">
      <c r="B81" s="237" t="s">
        <v>28</v>
      </c>
      <c r="C81" s="237"/>
      <c r="D81" s="237"/>
      <c r="E81" s="237"/>
    </row>
    <row r="82" spans="2:5" ht="12.75">
      <c r="B82" s="36" t="s">
        <v>29</v>
      </c>
      <c r="C82" s="240">
        <f>1000*E2</f>
        <v>25000</v>
      </c>
      <c r="D82" s="240"/>
      <c r="E82" s="37" t="s">
        <v>30</v>
      </c>
    </row>
    <row r="83" spans="2:5" ht="12.75">
      <c r="B83" s="38" t="s">
        <v>31</v>
      </c>
      <c r="C83" s="241">
        <f>2000*E2</f>
        <v>50000</v>
      </c>
      <c r="D83" s="241"/>
      <c r="E83" s="39" t="s">
        <v>30</v>
      </c>
    </row>
    <row r="84" spans="2:5" ht="12.75">
      <c r="B84" s="235" t="s">
        <v>32</v>
      </c>
      <c r="C84" s="40" t="s">
        <v>33</v>
      </c>
      <c r="D84" s="41">
        <f>3000*E2</f>
        <v>75000</v>
      </c>
      <c r="E84" s="39" t="s">
        <v>30</v>
      </c>
    </row>
    <row r="85" spans="2:5" ht="12.75">
      <c r="B85" s="235"/>
      <c r="C85" s="42" t="s">
        <v>34</v>
      </c>
      <c r="D85" s="43">
        <f>2000*E2</f>
        <v>50000</v>
      </c>
      <c r="E85" s="14" t="s">
        <v>30</v>
      </c>
    </row>
    <row r="88" spans="2:27" ht="15.75">
      <c r="B88" s="236" t="s">
        <v>35</v>
      </c>
      <c r="C88" s="44">
        <v>0.6</v>
      </c>
      <c r="D88" s="45"/>
      <c r="E88" s="45"/>
      <c r="F88" s="46"/>
      <c r="G88" s="46"/>
      <c r="H88" s="46"/>
      <c r="I88" s="46"/>
      <c r="J88" s="45"/>
      <c r="K88" s="45"/>
      <c r="L88" s="45"/>
      <c r="M88" s="45"/>
      <c r="N88" s="45"/>
      <c r="O88" s="45"/>
      <c r="P88" s="45"/>
      <c r="Q88" s="47"/>
      <c r="R88" s="47"/>
      <c r="S88" s="47"/>
      <c r="T88" s="47"/>
      <c r="U88" s="45"/>
      <c r="V88" s="47"/>
      <c r="W88" s="47"/>
      <c r="X88" s="47"/>
      <c r="Y88" s="47"/>
      <c r="Z88" s="47"/>
      <c r="AA88" s="48"/>
    </row>
    <row r="89" spans="2:27" ht="13.5" customHeight="1">
      <c r="B89" s="236"/>
      <c r="C89" s="49" t="s">
        <v>36</v>
      </c>
      <c r="D89" s="17"/>
      <c r="E89" s="17"/>
      <c r="F89" s="17"/>
      <c r="G89" s="50" t="s">
        <v>37</v>
      </c>
      <c r="H89" s="51"/>
      <c r="I89" s="52" t="s">
        <v>38</v>
      </c>
      <c r="J89" s="51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53"/>
    </row>
    <row r="90" spans="2:27" ht="15.75" customHeight="1">
      <c r="B90" s="236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53"/>
    </row>
    <row r="91" spans="2:27" ht="12.75">
      <c r="B91" s="236"/>
      <c r="C91" s="54" t="s">
        <v>39</v>
      </c>
      <c r="D91" s="55">
        <f>20000*E2</f>
        <v>500000</v>
      </c>
      <c r="E91" s="55">
        <f>40000*E2</f>
        <v>1000000</v>
      </c>
      <c r="F91" s="55">
        <f>60000*E2</f>
        <v>1500000</v>
      </c>
      <c r="G91" s="55">
        <f>80000*E2</f>
        <v>2000000</v>
      </c>
      <c r="H91" s="55">
        <f>100000*E2</f>
        <v>2500000</v>
      </c>
      <c r="I91" s="55">
        <f>150000*E2</f>
        <v>3750000</v>
      </c>
      <c r="J91" s="55">
        <f>200000*E2</f>
        <v>5000000</v>
      </c>
      <c r="K91" s="55">
        <f>250000*E2</f>
        <v>6250000</v>
      </c>
      <c r="L91" s="55">
        <f>300000*E2</f>
        <v>7500000</v>
      </c>
      <c r="M91" s="55">
        <f>350000*E2</f>
        <v>8750000</v>
      </c>
      <c r="N91" s="55">
        <f>400000*E2</f>
        <v>10000000</v>
      </c>
      <c r="O91" s="55">
        <f>450000*E2</f>
        <v>11250000</v>
      </c>
      <c r="P91" s="55">
        <f>500000*E2</f>
        <v>12500000</v>
      </c>
      <c r="Q91" s="55">
        <f>600000*E2</f>
        <v>15000000</v>
      </c>
      <c r="R91" s="55">
        <f>700000*E2</f>
        <v>17500000</v>
      </c>
      <c r="S91" s="55">
        <f>800000*E2</f>
        <v>20000000</v>
      </c>
      <c r="T91" s="55">
        <f>900000*E2</f>
        <v>22500000</v>
      </c>
      <c r="U91" s="55">
        <f>1000000*E2</f>
        <v>25000000</v>
      </c>
      <c r="V91" s="55">
        <f>1100000*E2</f>
        <v>27500000</v>
      </c>
      <c r="W91" s="55">
        <f>1200000*E2</f>
        <v>30000000</v>
      </c>
      <c r="X91" s="55">
        <f>1300000*E2</f>
        <v>32500000</v>
      </c>
      <c r="Y91" s="55">
        <f>1400000*E2</f>
        <v>35000000</v>
      </c>
      <c r="Z91" s="55">
        <f>1500000*E2</f>
        <v>37500000</v>
      </c>
      <c r="AA91" s="56"/>
    </row>
    <row r="92" spans="2:27" ht="12.75">
      <c r="B92" s="57"/>
      <c r="C92" s="58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60"/>
      <c r="AA92" s="56"/>
    </row>
    <row r="93" spans="2:27" ht="12.75">
      <c r="B93" s="61">
        <v>50</v>
      </c>
      <c r="C93" s="62">
        <f>720*E2</f>
        <v>18000</v>
      </c>
      <c r="D93" s="63">
        <f>1200*E2</f>
        <v>30000</v>
      </c>
      <c r="E93" s="63">
        <f>1700*E2</f>
        <v>42500</v>
      </c>
      <c r="F93" s="63">
        <f>2200*E2</f>
        <v>55000</v>
      </c>
      <c r="G93" s="63">
        <f>2700*E2</f>
        <v>67500</v>
      </c>
      <c r="H93" s="63">
        <f>3200*E2</f>
        <v>80000</v>
      </c>
      <c r="I93" s="63">
        <f>4200*E2</f>
        <v>105000</v>
      </c>
      <c r="J93" s="63">
        <f>5200*E2</f>
        <v>130000</v>
      </c>
      <c r="K93" s="63">
        <f>6200*E2</f>
        <v>155000</v>
      </c>
      <c r="L93" s="63">
        <f>7200*E2</f>
        <v>180000</v>
      </c>
      <c r="M93" s="63">
        <f>8200*E2</f>
        <v>205000</v>
      </c>
      <c r="N93" s="63">
        <f>9200*E2</f>
        <v>230000</v>
      </c>
      <c r="O93" s="63">
        <f>10200*E2</f>
        <v>255000</v>
      </c>
      <c r="P93" s="63">
        <f>11200*E2</f>
        <v>280000</v>
      </c>
      <c r="Q93" s="63">
        <f>12200*E2</f>
        <v>305000</v>
      </c>
      <c r="R93" s="63">
        <f>13200*E2</f>
        <v>330000</v>
      </c>
      <c r="S93" s="63">
        <f>14200*E2</f>
        <v>355000</v>
      </c>
      <c r="T93" s="63">
        <f>15200*E2</f>
        <v>380000</v>
      </c>
      <c r="U93" s="63">
        <f>16200*E2</f>
        <v>405000</v>
      </c>
      <c r="V93" s="63">
        <f>17200*E2</f>
        <v>430000</v>
      </c>
      <c r="W93" s="63">
        <f>18200*E2</f>
        <v>455000</v>
      </c>
      <c r="X93" s="63">
        <f>19200*E2</f>
        <v>480000</v>
      </c>
      <c r="Y93" s="63">
        <f>20200*E2</f>
        <v>505000</v>
      </c>
      <c r="Z93" s="63">
        <f>21200*E2</f>
        <v>530000</v>
      </c>
      <c r="AA93" s="53"/>
    </row>
    <row r="94" spans="2:27" ht="12.75">
      <c r="B94" s="61">
        <v>75</v>
      </c>
      <c r="C94" s="62">
        <f>960*E2</f>
        <v>24000</v>
      </c>
      <c r="D94" s="63">
        <f>1600*E2</f>
        <v>40000</v>
      </c>
      <c r="E94" s="63">
        <f>2100*E2</f>
        <v>52500</v>
      </c>
      <c r="F94" s="63">
        <f>2600*E2</f>
        <v>65000</v>
      </c>
      <c r="G94" s="63">
        <f>3100*E2</f>
        <v>77500</v>
      </c>
      <c r="H94" s="63">
        <f>3600*E2</f>
        <v>90000</v>
      </c>
      <c r="I94" s="63">
        <f>4600*E2</f>
        <v>115000</v>
      </c>
      <c r="J94" s="63">
        <f>5600*E2</f>
        <v>140000</v>
      </c>
      <c r="K94" s="63">
        <f>6600*E2</f>
        <v>165000</v>
      </c>
      <c r="L94" s="63">
        <f>7600*E2</f>
        <v>190000</v>
      </c>
      <c r="M94" s="63">
        <f>8600*E2</f>
        <v>215000</v>
      </c>
      <c r="N94" s="63">
        <f>9600*E2</f>
        <v>240000</v>
      </c>
      <c r="O94" s="63">
        <f>10600*E2</f>
        <v>265000</v>
      </c>
      <c r="P94" s="63">
        <f>11600*E2</f>
        <v>290000</v>
      </c>
      <c r="Q94" s="63">
        <f>12600*E2</f>
        <v>315000</v>
      </c>
      <c r="R94" s="63">
        <f>13600*E2</f>
        <v>340000</v>
      </c>
      <c r="S94" s="63">
        <f>14600*E2</f>
        <v>365000</v>
      </c>
      <c r="T94" s="63">
        <f>15600*E2</f>
        <v>390000</v>
      </c>
      <c r="U94" s="63">
        <f>16600*E2</f>
        <v>415000</v>
      </c>
      <c r="V94" s="63">
        <f>17600*E2</f>
        <v>440000</v>
      </c>
      <c r="W94" s="63">
        <f>18600*E2</f>
        <v>465000</v>
      </c>
      <c r="X94" s="63">
        <f>19600*E2</f>
        <v>490000</v>
      </c>
      <c r="Y94" s="63">
        <f>20600*E2</f>
        <v>515000</v>
      </c>
      <c r="Z94" s="63">
        <f>21600*E2</f>
        <v>540000</v>
      </c>
      <c r="AA94" s="53"/>
    </row>
    <row r="95" spans="2:27" ht="12.75">
      <c r="B95" s="61">
        <v>100</v>
      </c>
      <c r="C95" s="62">
        <f>1200*E2</f>
        <v>30000</v>
      </c>
      <c r="D95" s="63">
        <f>2000*E2</f>
        <v>50000</v>
      </c>
      <c r="E95" s="63">
        <f>2500*E2</f>
        <v>62500</v>
      </c>
      <c r="F95" s="63">
        <f>3000*E2</f>
        <v>75000</v>
      </c>
      <c r="G95" s="63">
        <f>3500*E2</f>
        <v>87500</v>
      </c>
      <c r="H95" s="63">
        <f>4000*E2</f>
        <v>100000</v>
      </c>
      <c r="I95" s="63">
        <f>5000*E2</f>
        <v>125000</v>
      </c>
      <c r="J95" s="63">
        <f>6000*E2</f>
        <v>150000</v>
      </c>
      <c r="K95" s="63">
        <f>7000*E2</f>
        <v>175000</v>
      </c>
      <c r="L95" s="63">
        <f>8000*E2</f>
        <v>200000</v>
      </c>
      <c r="M95" s="63">
        <f>9000*E2</f>
        <v>225000</v>
      </c>
      <c r="N95" s="63">
        <f>10000*E2</f>
        <v>250000</v>
      </c>
      <c r="O95" s="63">
        <f>11000*E2</f>
        <v>275000</v>
      </c>
      <c r="P95" s="63">
        <f>12000*E2</f>
        <v>300000</v>
      </c>
      <c r="Q95" s="63">
        <f>13000*E2</f>
        <v>325000</v>
      </c>
      <c r="R95" s="63">
        <f>14000*E2</f>
        <v>350000</v>
      </c>
      <c r="S95" s="63">
        <f>15000*E2</f>
        <v>375000</v>
      </c>
      <c r="T95" s="63">
        <f>16000*E2</f>
        <v>400000</v>
      </c>
      <c r="U95" s="63">
        <f>17000*E2</f>
        <v>425000</v>
      </c>
      <c r="V95" s="63">
        <f>18000*E2</f>
        <v>450000</v>
      </c>
      <c r="W95" s="63">
        <f>19000*E2</f>
        <v>475000</v>
      </c>
      <c r="X95" s="63">
        <f>20000*E2</f>
        <v>500000</v>
      </c>
      <c r="Y95" s="63">
        <f>21000*E2</f>
        <v>525000</v>
      </c>
      <c r="Z95" s="63">
        <f>22000*E2</f>
        <v>550000</v>
      </c>
      <c r="AA95" s="53"/>
    </row>
    <row r="96" spans="2:27" ht="12.75">
      <c r="B96" s="61">
        <v>125</v>
      </c>
      <c r="C96" s="62">
        <f>1440*E2</f>
        <v>36000</v>
      </c>
      <c r="D96" s="63">
        <f>2400*E2</f>
        <v>60000</v>
      </c>
      <c r="E96" s="63">
        <f>2900*E2</f>
        <v>72500</v>
      </c>
      <c r="F96" s="63">
        <f>3400*E2</f>
        <v>85000</v>
      </c>
      <c r="G96" s="63">
        <f>3900*E2</f>
        <v>97500</v>
      </c>
      <c r="H96" s="63">
        <f>4400*E2</f>
        <v>110000</v>
      </c>
      <c r="I96" s="63">
        <f>5400*E2</f>
        <v>135000</v>
      </c>
      <c r="J96" s="63">
        <f>6400*E2</f>
        <v>160000</v>
      </c>
      <c r="K96" s="63">
        <f>7400*E2</f>
        <v>185000</v>
      </c>
      <c r="L96" s="63">
        <f>8400*E2</f>
        <v>210000</v>
      </c>
      <c r="M96" s="63">
        <f>9400*E2</f>
        <v>235000</v>
      </c>
      <c r="N96" s="63">
        <f>10400*E2</f>
        <v>260000</v>
      </c>
      <c r="O96" s="63">
        <f>11400*E2</f>
        <v>285000</v>
      </c>
      <c r="P96" s="63">
        <f>12400*E2</f>
        <v>310000</v>
      </c>
      <c r="Q96" s="63">
        <f>13400*E2</f>
        <v>335000</v>
      </c>
      <c r="R96" s="63">
        <f>14400*E2</f>
        <v>360000</v>
      </c>
      <c r="S96" s="63">
        <f>15400*E2</f>
        <v>385000</v>
      </c>
      <c r="T96" s="63">
        <f>16400*E2</f>
        <v>410000</v>
      </c>
      <c r="U96" s="63">
        <f>17400*E2</f>
        <v>435000</v>
      </c>
      <c r="V96" s="63">
        <f>18400*E2</f>
        <v>460000</v>
      </c>
      <c r="W96" s="63">
        <f>19400*E2</f>
        <v>485000</v>
      </c>
      <c r="X96" s="63">
        <f>20400*E2</f>
        <v>510000</v>
      </c>
      <c r="Y96" s="63">
        <f>21400*E2</f>
        <v>535000</v>
      </c>
      <c r="Z96" s="63">
        <f>22400*E2</f>
        <v>560000</v>
      </c>
      <c r="AA96" s="53"/>
    </row>
    <row r="97" spans="2:27" ht="12.75">
      <c r="B97" s="61">
        <v>150</v>
      </c>
      <c r="C97" s="62">
        <f>1680*E2</f>
        <v>42000</v>
      </c>
      <c r="D97" s="63">
        <f>2800*E2</f>
        <v>70000</v>
      </c>
      <c r="E97" s="63">
        <f>3300*E2</f>
        <v>82500</v>
      </c>
      <c r="F97" s="63">
        <f>3800*E2</f>
        <v>95000</v>
      </c>
      <c r="G97" s="63">
        <f>4300*E2</f>
        <v>107500</v>
      </c>
      <c r="H97" s="63">
        <f>4800*E2</f>
        <v>120000</v>
      </c>
      <c r="I97" s="63">
        <f>5800*E2</f>
        <v>145000</v>
      </c>
      <c r="J97" s="63">
        <f>6800*E2</f>
        <v>170000</v>
      </c>
      <c r="K97" s="63">
        <f>7800*E2</f>
        <v>195000</v>
      </c>
      <c r="L97" s="63">
        <f>8800*E2</f>
        <v>220000</v>
      </c>
      <c r="M97" s="63">
        <f>9800*E2</f>
        <v>245000</v>
      </c>
      <c r="N97" s="63">
        <f>10800*E2</f>
        <v>270000</v>
      </c>
      <c r="O97" s="63">
        <f>11800*E2</f>
        <v>295000</v>
      </c>
      <c r="P97" s="63">
        <f>12800*E2</f>
        <v>320000</v>
      </c>
      <c r="Q97" s="63">
        <f>13800*E2</f>
        <v>345000</v>
      </c>
      <c r="R97" s="63">
        <f>14800*E2</f>
        <v>370000</v>
      </c>
      <c r="S97" s="63">
        <f>15800*E2</f>
        <v>395000</v>
      </c>
      <c r="T97" s="63">
        <f>16800*E2</f>
        <v>420000</v>
      </c>
      <c r="U97" s="63">
        <f>17800*E2</f>
        <v>445000</v>
      </c>
      <c r="V97" s="63">
        <f>18800*E2</f>
        <v>470000</v>
      </c>
      <c r="W97" s="63">
        <f>19800*E2</f>
        <v>495000</v>
      </c>
      <c r="X97" s="63">
        <f>20800*E2</f>
        <v>520000</v>
      </c>
      <c r="Y97" s="63">
        <f>21800*E2</f>
        <v>545000</v>
      </c>
      <c r="Z97" s="63">
        <f>22800*E2</f>
        <v>570000</v>
      </c>
      <c r="AA97" s="53"/>
    </row>
    <row r="98" spans="2:27" ht="12.75">
      <c r="B98" s="61">
        <v>175</v>
      </c>
      <c r="C98" s="62">
        <f>1920*E2</f>
        <v>48000</v>
      </c>
      <c r="D98" s="63">
        <f>3200*E2</f>
        <v>80000</v>
      </c>
      <c r="E98" s="63">
        <f>3700*E2</f>
        <v>92500</v>
      </c>
      <c r="F98" s="63">
        <f>4200*E2</f>
        <v>105000</v>
      </c>
      <c r="G98" s="63">
        <f>4700*E2</f>
        <v>117500</v>
      </c>
      <c r="H98" s="63">
        <f>5200*E2</f>
        <v>130000</v>
      </c>
      <c r="I98" s="63">
        <f>6200*E2</f>
        <v>155000</v>
      </c>
      <c r="J98" s="63">
        <f>7200*E2</f>
        <v>180000</v>
      </c>
      <c r="K98" s="63">
        <f>8200*E2</f>
        <v>205000</v>
      </c>
      <c r="L98" s="63">
        <f>9200*E2</f>
        <v>230000</v>
      </c>
      <c r="M98" s="63">
        <f>10200*E2</f>
        <v>255000</v>
      </c>
      <c r="N98" s="63">
        <f>11200*E2</f>
        <v>280000</v>
      </c>
      <c r="O98" s="63">
        <f>12200*E2</f>
        <v>305000</v>
      </c>
      <c r="P98" s="63">
        <f>13200*E2</f>
        <v>330000</v>
      </c>
      <c r="Q98" s="63">
        <f>14200*E2</f>
        <v>355000</v>
      </c>
      <c r="R98" s="63">
        <f>15200*E2</f>
        <v>380000</v>
      </c>
      <c r="S98" s="63">
        <f>16200*E2</f>
        <v>405000</v>
      </c>
      <c r="T98" s="63">
        <f>17200*E2</f>
        <v>430000</v>
      </c>
      <c r="U98" s="63">
        <f>18200*E2</f>
        <v>455000</v>
      </c>
      <c r="V98" s="63">
        <f>19200*E2</f>
        <v>480000</v>
      </c>
      <c r="W98" s="63">
        <f>20200*E2</f>
        <v>505000</v>
      </c>
      <c r="X98" s="63">
        <f>21200*E2</f>
        <v>530000</v>
      </c>
      <c r="Y98" s="63">
        <f>22200*E2</f>
        <v>555000</v>
      </c>
      <c r="Z98" s="63">
        <f>23200*E2</f>
        <v>580000</v>
      </c>
      <c r="AA98" s="53"/>
    </row>
    <row r="99" spans="2:27" ht="12.75">
      <c r="B99" s="61">
        <v>200</v>
      </c>
      <c r="C99" s="62">
        <f>2160*E2</f>
        <v>54000</v>
      </c>
      <c r="D99" s="63">
        <f>3600*E2</f>
        <v>90000</v>
      </c>
      <c r="E99" s="63">
        <f>4100*E2</f>
        <v>102500</v>
      </c>
      <c r="F99" s="63">
        <f>4600*E2</f>
        <v>115000</v>
      </c>
      <c r="G99" s="63">
        <f>5100*E2</f>
        <v>127500</v>
      </c>
      <c r="H99" s="63">
        <f>5600*E2</f>
        <v>140000</v>
      </c>
      <c r="I99" s="63">
        <f>6600*E2</f>
        <v>165000</v>
      </c>
      <c r="J99" s="63">
        <f>7600*E2</f>
        <v>190000</v>
      </c>
      <c r="K99" s="63">
        <f>8600*E2</f>
        <v>215000</v>
      </c>
      <c r="L99" s="63">
        <f>9600*E2</f>
        <v>240000</v>
      </c>
      <c r="M99" s="63">
        <f>10600*E2</f>
        <v>265000</v>
      </c>
      <c r="N99" s="63">
        <f>11600*E2</f>
        <v>290000</v>
      </c>
      <c r="O99" s="63">
        <f>12600*E2</f>
        <v>315000</v>
      </c>
      <c r="P99" s="63">
        <f>13600*E2</f>
        <v>340000</v>
      </c>
      <c r="Q99" s="63">
        <f>14600*E2</f>
        <v>365000</v>
      </c>
      <c r="R99" s="63">
        <f>15600*E2</f>
        <v>390000</v>
      </c>
      <c r="S99" s="63">
        <f>16600*E2</f>
        <v>415000</v>
      </c>
      <c r="T99" s="63">
        <f>17600*E2</f>
        <v>440000</v>
      </c>
      <c r="U99" s="63">
        <f>18600*E2</f>
        <v>465000</v>
      </c>
      <c r="V99" s="63">
        <f>19600*E2</f>
        <v>490000</v>
      </c>
      <c r="W99" s="63">
        <f>20600*E2</f>
        <v>515000</v>
      </c>
      <c r="X99" s="63">
        <f>21600*E2</f>
        <v>540000</v>
      </c>
      <c r="Y99" s="63">
        <f>22600*E2</f>
        <v>565000</v>
      </c>
      <c r="Z99" s="63">
        <f>23600*E2</f>
        <v>590000</v>
      </c>
      <c r="AA99" s="53"/>
    </row>
    <row r="100" spans="2:27" ht="12.75">
      <c r="B100" s="61">
        <v>230</v>
      </c>
      <c r="C100" s="62">
        <f>2400*E2</f>
        <v>60000</v>
      </c>
      <c r="D100" s="63">
        <f>4000*E2</f>
        <v>100000</v>
      </c>
      <c r="E100" s="63">
        <f>4500*E2</f>
        <v>112500</v>
      </c>
      <c r="F100" s="63">
        <f>5000*E2</f>
        <v>125000</v>
      </c>
      <c r="G100" s="63">
        <f>5500*E2</f>
        <v>137500</v>
      </c>
      <c r="H100" s="63">
        <f>6000*E2</f>
        <v>150000</v>
      </c>
      <c r="I100" s="63">
        <f>7000*E2</f>
        <v>175000</v>
      </c>
      <c r="J100" s="63">
        <f>8000*E2</f>
        <v>200000</v>
      </c>
      <c r="K100" s="63">
        <f>9000*E2</f>
        <v>225000</v>
      </c>
      <c r="L100" s="63">
        <f>10000*E2</f>
        <v>250000</v>
      </c>
      <c r="M100" s="63">
        <f>11000*E2</f>
        <v>275000</v>
      </c>
      <c r="N100" s="63">
        <f>12000*E2</f>
        <v>300000</v>
      </c>
      <c r="O100" s="63">
        <f>13000*E2</f>
        <v>325000</v>
      </c>
      <c r="P100" s="63">
        <f>14000*E2</f>
        <v>350000</v>
      </c>
      <c r="Q100" s="63">
        <f>15000*E2</f>
        <v>375000</v>
      </c>
      <c r="R100" s="63">
        <f>16000*E2</f>
        <v>400000</v>
      </c>
      <c r="S100" s="63">
        <f>17000*E2</f>
        <v>425000</v>
      </c>
      <c r="T100" s="63">
        <f>18000*E2</f>
        <v>450000</v>
      </c>
      <c r="U100" s="63">
        <f>19000*E2</f>
        <v>475000</v>
      </c>
      <c r="V100" s="63">
        <f>20000*E2</f>
        <v>500000</v>
      </c>
      <c r="W100" s="63">
        <f>21000*E2</f>
        <v>525000</v>
      </c>
      <c r="X100" s="63">
        <f>22000*E2</f>
        <v>550000</v>
      </c>
      <c r="Y100" s="63">
        <f>23000*E2</f>
        <v>575000</v>
      </c>
      <c r="Z100" s="63">
        <f>24000*E2</f>
        <v>600000</v>
      </c>
      <c r="AA100" s="53"/>
    </row>
    <row r="101" spans="2:27" ht="12.75">
      <c r="B101" s="61">
        <v>260</v>
      </c>
      <c r="C101" s="62">
        <f>2640*E2</f>
        <v>66000</v>
      </c>
      <c r="D101" s="63">
        <f>4400*E2</f>
        <v>110000</v>
      </c>
      <c r="E101" s="63">
        <f>4900*E2</f>
        <v>122500</v>
      </c>
      <c r="F101" s="63">
        <f>5400*E2</f>
        <v>135000</v>
      </c>
      <c r="G101" s="63">
        <f>5900*E2</f>
        <v>147500</v>
      </c>
      <c r="H101" s="63">
        <f>6400*E2</f>
        <v>160000</v>
      </c>
      <c r="I101" s="63">
        <f>7400*E2</f>
        <v>185000</v>
      </c>
      <c r="J101" s="63">
        <f>8400*E2</f>
        <v>210000</v>
      </c>
      <c r="K101" s="63">
        <f>9400*E2</f>
        <v>235000</v>
      </c>
      <c r="L101" s="63">
        <f>10400*E2</f>
        <v>260000</v>
      </c>
      <c r="M101" s="63">
        <f>11400*E2</f>
        <v>285000</v>
      </c>
      <c r="N101" s="63">
        <f>12400*E2</f>
        <v>310000</v>
      </c>
      <c r="O101" s="63">
        <f>13400*E2</f>
        <v>335000</v>
      </c>
      <c r="P101" s="63">
        <f>14400*E2</f>
        <v>360000</v>
      </c>
      <c r="Q101" s="63">
        <f>15400*E2</f>
        <v>385000</v>
      </c>
      <c r="R101" s="63">
        <f>16400*E2</f>
        <v>410000</v>
      </c>
      <c r="S101" s="63">
        <f>17400*E2</f>
        <v>435000</v>
      </c>
      <c r="T101" s="63">
        <f>18400*E2</f>
        <v>460000</v>
      </c>
      <c r="U101" s="63">
        <f>19400*E2</f>
        <v>485000</v>
      </c>
      <c r="V101" s="63">
        <f>20400*E2</f>
        <v>510000</v>
      </c>
      <c r="W101" s="63">
        <f>21400*E2</f>
        <v>535000</v>
      </c>
      <c r="X101" s="63">
        <f>22400*E2</f>
        <v>560000</v>
      </c>
      <c r="Y101" s="63">
        <f>23400*E2</f>
        <v>585000</v>
      </c>
      <c r="Z101" s="63">
        <f>24400*E2</f>
        <v>610000</v>
      </c>
      <c r="AA101" s="53"/>
    </row>
    <row r="102" spans="2:27" ht="12.75">
      <c r="B102" s="61">
        <v>300</v>
      </c>
      <c r="C102" s="62">
        <f>2880*E2</f>
        <v>72000</v>
      </c>
      <c r="D102" s="63">
        <f>4800*E2</f>
        <v>120000</v>
      </c>
      <c r="E102" s="63">
        <f>5300*E2</f>
        <v>132500</v>
      </c>
      <c r="F102" s="63">
        <f>5800*E2</f>
        <v>145000</v>
      </c>
      <c r="G102" s="63">
        <f>6300*E2</f>
        <v>157500</v>
      </c>
      <c r="H102" s="63">
        <f>6800*E2</f>
        <v>170000</v>
      </c>
      <c r="I102" s="63">
        <f>7800*E2</f>
        <v>195000</v>
      </c>
      <c r="J102" s="63">
        <f>8800*E2</f>
        <v>220000</v>
      </c>
      <c r="K102" s="63">
        <f>9800*E2</f>
        <v>245000</v>
      </c>
      <c r="L102" s="63">
        <f>10800*E2</f>
        <v>270000</v>
      </c>
      <c r="M102" s="63">
        <f>11800*E2</f>
        <v>295000</v>
      </c>
      <c r="N102" s="63">
        <f>12800*E2</f>
        <v>320000</v>
      </c>
      <c r="O102" s="63">
        <f>13800*E2</f>
        <v>345000</v>
      </c>
      <c r="P102" s="63">
        <f>14800*E2</f>
        <v>370000</v>
      </c>
      <c r="Q102" s="63">
        <f>15800*E2</f>
        <v>395000</v>
      </c>
      <c r="R102" s="63">
        <f>16800*E2</f>
        <v>420000</v>
      </c>
      <c r="S102" s="63">
        <f>17800*E2</f>
        <v>445000</v>
      </c>
      <c r="T102" s="63">
        <f>18800*E2</f>
        <v>470000</v>
      </c>
      <c r="U102" s="63">
        <f>19800*E2</f>
        <v>495000</v>
      </c>
      <c r="V102" s="63">
        <f>20800*E2</f>
        <v>520000</v>
      </c>
      <c r="W102" s="63">
        <f>21800*E2</f>
        <v>545000</v>
      </c>
      <c r="X102" s="63">
        <f>22800*E2</f>
        <v>570000</v>
      </c>
      <c r="Y102" s="63">
        <f>23800*E2</f>
        <v>595000</v>
      </c>
      <c r="Z102" s="63">
        <f>24800*E2</f>
        <v>620000</v>
      </c>
      <c r="AA102" s="53"/>
    </row>
    <row r="103" spans="2:27" ht="12.75">
      <c r="B103" s="61">
        <v>350</v>
      </c>
      <c r="C103" s="62">
        <f>3120*E2</f>
        <v>78000</v>
      </c>
      <c r="D103" s="63">
        <f>5200*E2</f>
        <v>130000</v>
      </c>
      <c r="E103" s="63">
        <f>5700*E2</f>
        <v>142500</v>
      </c>
      <c r="F103" s="63">
        <f>6200*E2</f>
        <v>155000</v>
      </c>
      <c r="G103" s="63">
        <f>6700*E2</f>
        <v>167500</v>
      </c>
      <c r="H103" s="63">
        <f>7200*E2</f>
        <v>180000</v>
      </c>
      <c r="I103" s="63">
        <f>8200*E2</f>
        <v>205000</v>
      </c>
      <c r="J103" s="63">
        <f>9200*E2</f>
        <v>230000</v>
      </c>
      <c r="K103" s="63">
        <f>10200*E2</f>
        <v>255000</v>
      </c>
      <c r="L103" s="63">
        <f>11200*E2</f>
        <v>280000</v>
      </c>
      <c r="M103" s="63">
        <f>12200*E2</f>
        <v>305000</v>
      </c>
      <c r="N103" s="63">
        <f>13200*E2</f>
        <v>330000</v>
      </c>
      <c r="O103" s="63">
        <f>14200*E2</f>
        <v>355000</v>
      </c>
      <c r="P103" s="63">
        <f>15200*E2</f>
        <v>380000</v>
      </c>
      <c r="Q103" s="63">
        <f>16200*E2</f>
        <v>405000</v>
      </c>
      <c r="R103" s="63">
        <f>17200*E2</f>
        <v>430000</v>
      </c>
      <c r="S103" s="63">
        <f>18200*E2</f>
        <v>455000</v>
      </c>
      <c r="T103" s="63">
        <f>19200*E2</f>
        <v>480000</v>
      </c>
      <c r="U103" s="63">
        <f>20200*E2</f>
        <v>505000</v>
      </c>
      <c r="V103" s="63">
        <f>21200*E2</f>
        <v>530000</v>
      </c>
      <c r="W103" s="63">
        <f>22200*E2</f>
        <v>555000</v>
      </c>
      <c r="X103" s="63">
        <f>23200*E2</f>
        <v>580000</v>
      </c>
      <c r="Y103" s="63">
        <f>24200*E2</f>
        <v>605000</v>
      </c>
      <c r="Z103" s="63">
        <f>25200*E2</f>
        <v>630000</v>
      </c>
      <c r="AA103" s="53"/>
    </row>
    <row r="104" spans="2:27" ht="12.75">
      <c r="B104" s="61">
        <v>400</v>
      </c>
      <c r="C104" s="62">
        <f>3360*E2</f>
        <v>84000</v>
      </c>
      <c r="D104" s="63">
        <f>5600*E2</f>
        <v>140000</v>
      </c>
      <c r="E104" s="63">
        <f>6100*E2</f>
        <v>152500</v>
      </c>
      <c r="F104" s="63">
        <f>6600*E2</f>
        <v>165000</v>
      </c>
      <c r="G104" s="63">
        <f>7100*E2</f>
        <v>177500</v>
      </c>
      <c r="H104" s="63">
        <f>7600*E2</f>
        <v>190000</v>
      </c>
      <c r="I104" s="63">
        <f>8600*E2</f>
        <v>215000</v>
      </c>
      <c r="J104" s="63">
        <f>9600*E2</f>
        <v>240000</v>
      </c>
      <c r="K104" s="63">
        <f>10600*E2</f>
        <v>265000</v>
      </c>
      <c r="L104" s="63">
        <f>11600*E2</f>
        <v>290000</v>
      </c>
      <c r="M104" s="63">
        <f>12600*E2</f>
        <v>315000</v>
      </c>
      <c r="N104" s="63">
        <f>13600*E2</f>
        <v>340000</v>
      </c>
      <c r="O104" s="63">
        <f>14600*E2</f>
        <v>365000</v>
      </c>
      <c r="P104" s="63">
        <f>15600*E2</f>
        <v>390000</v>
      </c>
      <c r="Q104" s="63">
        <f>16600*E2</f>
        <v>415000</v>
      </c>
      <c r="R104" s="63">
        <f>17600*E2</f>
        <v>440000</v>
      </c>
      <c r="S104" s="63">
        <f>18600*E2</f>
        <v>465000</v>
      </c>
      <c r="T104" s="63">
        <f>19600*E2</f>
        <v>490000</v>
      </c>
      <c r="U104" s="63">
        <f>20600*E2</f>
        <v>515000</v>
      </c>
      <c r="V104" s="63">
        <f>21600*E2</f>
        <v>540000</v>
      </c>
      <c r="W104" s="63">
        <f>22600*E2</f>
        <v>565000</v>
      </c>
      <c r="X104" s="63">
        <f>23600*E2</f>
        <v>590000</v>
      </c>
      <c r="Y104" s="63">
        <f>24600*E2</f>
        <v>615000</v>
      </c>
      <c r="Z104" s="63">
        <f>25600*E2</f>
        <v>640000</v>
      </c>
      <c r="AA104" s="53"/>
    </row>
    <row r="105" spans="2:27" ht="12.75">
      <c r="B105" s="61">
        <v>500</v>
      </c>
      <c r="C105" s="62">
        <f>3600*E2</f>
        <v>90000</v>
      </c>
      <c r="D105" s="63">
        <f>6000*E2</f>
        <v>150000</v>
      </c>
      <c r="E105" s="63">
        <f>6500*E2</f>
        <v>162500</v>
      </c>
      <c r="F105" s="63">
        <f>7000*E2</f>
        <v>175000</v>
      </c>
      <c r="G105" s="63">
        <f>7500*E2</f>
        <v>187500</v>
      </c>
      <c r="H105" s="63">
        <f>8000*E2</f>
        <v>200000</v>
      </c>
      <c r="I105" s="63">
        <f>9000*E2</f>
        <v>225000</v>
      </c>
      <c r="J105" s="63">
        <f>10000*E2</f>
        <v>250000</v>
      </c>
      <c r="K105" s="63">
        <f>11000*E2</f>
        <v>275000</v>
      </c>
      <c r="L105" s="63">
        <f>12000*E2</f>
        <v>300000</v>
      </c>
      <c r="M105" s="63">
        <f>13000*E2</f>
        <v>325000</v>
      </c>
      <c r="N105" s="63">
        <f>14000*E2</f>
        <v>350000</v>
      </c>
      <c r="O105" s="63">
        <f>15000*E2</f>
        <v>375000</v>
      </c>
      <c r="P105" s="63">
        <f>16000*E2</f>
        <v>400000</v>
      </c>
      <c r="Q105" s="63">
        <f>17000*E2</f>
        <v>425000</v>
      </c>
      <c r="R105" s="63">
        <f>18000*E2</f>
        <v>450000</v>
      </c>
      <c r="S105" s="63">
        <f>19000*E2</f>
        <v>475000</v>
      </c>
      <c r="T105" s="63">
        <f>20000*E2</f>
        <v>500000</v>
      </c>
      <c r="U105" s="63">
        <f>21000*E2</f>
        <v>525000</v>
      </c>
      <c r="V105" s="63">
        <f>22000*E2</f>
        <v>550000</v>
      </c>
      <c r="W105" s="63">
        <f>23000*E2</f>
        <v>575000</v>
      </c>
      <c r="X105" s="63">
        <f>24000*E2</f>
        <v>600000</v>
      </c>
      <c r="Y105" s="63">
        <f>25000*E2</f>
        <v>625000</v>
      </c>
      <c r="Z105" s="63">
        <f>26000*E2</f>
        <v>650000</v>
      </c>
      <c r="AA105" s="53"/>
    </row>
    <row r="106" spans="2:27" ht="12.75">
      <c r="B106" s="61">
        <v>600</v>
      </c>
      <c r="C106" s="62">
        <f>3840*E2</f>
        <v>96000</v>
      </c>
      <c r="D106" s="63">
        <f>6400*E2</f>
        <v>160000</v>
      </c>
      <c r="E106" s="63">
        <f>6900*E2</f>
        <v>172500</v>
      </c>
      <c r="F106" s="63">
        <f>7400*E2</f>
        <v>185000</v>
      </c>
      <c r="G106" s="63">
        <f>7900*E2</f>
        <v>197500</v>
      </c>
      <c r="H106" s="63">
        <f>8400*E2</f>
        <v>210000</v>
      </c>
      <c r="I106" s="63">
        <f>9400*E2</f>
        <v>235000</v>
      </c>
      <c r="J106" s="63">
        <f>10400*E2</f>
        <v>260000</v>
      </c>
      <c r="K106" s="63">
        <f>11400*E2</f>
        <v>285000</v>
      </c>
      <c r="L106" s="63">
        <f>12400*E2</f>
        <v>310000</v>
      </c>
      <c r="M106" s="63">
        <f>13400*E2</f>
        <v>335000</v>
      </c>
      <c r="N106" s="63">
        <f>14400*E2</f>
        <v>360000</v>
      </c>
      <c r="O106" s="63">
        <f>15400*E2</f>
        <v>385000</v>
      </c>
      <c r="P106" s="63">
        <f>16400*E2</f>
        <v>410000</v>
      </c>
      <c r="Q106" s="63">
        <f>17400*E2</f>
        <v>435000</v>
      </c>
      <c r="R106" s="63">
        <f>18400*E2</f>
        <v>460000</v>
      </c>
      <c r="S106" s="63">
        <f>19400*E2</f>
        <v>485000</v>
      </c>
      <c r="T106" s="63">
        <f>20400*E2</f>
        <v>510000</v>
      </c>
      <c r="U106" s="63">
        <f>21400*E2</f>
        <v>535000</v>
      </c>
      <c r="V106" s="63">
        <f>22400*E2</f>
        <v>560000</v>
      </c>
      <c r="W106" s="63">
        <f>23400*E2</f>
        <v>585000</v>
      </c>
      <c r="X106" s="63">
        <f>24400*E2</f>
        <v>610000</v>
      </c>
      <c r="Y106" s="63">
        <f>25400*E2</f>
        <v>635000</v>
      </c>
      <c r="Z106" s="63">
        <f>26400*E2</f>
        <v>660000</v>
      </c>
      <c r="AA106" s="53"/>
    </row>
    <row r="107" spans="2:27" ht="12.75">
      <c r="B107" s="61">
        <v>800</v>
      </c>
      <c r="C107" s="62">
        <f>4320*E2</f>
        <v>108000</v>
      </c>
      <c r="D107" s="63">
        <f>7200*E2</f>
        <v>180000</v>
      </c>
      <c r="E107" s="63">
        <f>7700*E2</f>
        <v>192500</v>
      </c>
      <c r="F107" s="63">
        <f>8200*E2</f>
        <v>205000</v>
      </c>
      <c r="G107" s="63">
        <f>8700*E2</f>
        <v>217500</v>
      </c>
      <c r="H107" s="63">
        <f>9200*E2</f>
        <v>230000</v>
      </c>
      <c r="I107" s="63">
        <f>10200*E2</f>
        <v>255000</v>
      </c>
      <c r="J107" s="63">
        <f>11200*E2</f>
        <v>280000</v>
      </c>
      <c r="K107" s="63">
        <f>12200*E2</f>
        <v>305000</v>
      </c>
      <c r="L107" s="63">
        <f>13200*E2</f>
        <v>330000</v>
      </c>
      <c r="M107" s="63">
        <f>14200*E2</f>
        <v>355000</v>
      </c>
      <c r="N107" s="63">
        <f>15200*E2</f>
        <v>380000</v>
      </c>
      <c r="O107" s="63">
        <f>16200*E2</f>
        <v>405000</v>
      </c>
      <c r="P107" s="63">
        <f>17200*E2</f>
        <v>430000</v>
      </c>
      <c r="Q107" s="63">
        <f>18200*E2</f>
        <v>455000</v>
      </c>
      <c r="R107" s="63">
        <f>19200*E2</f>
        <v>480000</v>
      </c>
      <c r="S107" s="63">
        <f>20200*E2</f>
        <v>505000</v>
      </c>
      <c r="T107" s="63">
        <f>21200*E2</f>
        <v>530000</v>
      </c>
      <c r="U107" s="63">
        <f>22200*E2</f>
        <v>555000</v>
      </c>
      <c r="V107" s="63">
        <f>23200*E2</f>
        <v>580000</v>
      </c>
      <c r="W107" s="63">
        <f>24200*E2</f>
        <v>605000</v>
      </c>
      <c r="X107" s="63">
        <f>25200*E2</f>
        <v>630000</v>
      </c>
      <c r="Y107" s="63">
        <f>26200*E2</f>
        <v>655000</v>
      </c>
      <c r="Z107" s="63">
        <f>27200*E2</f>
        <v>680000</v>
      </c>
      <c r="AA107" s="53"/>
    </row>
    <row r="108" spans="2:27" ht="12.75">
      <c r="B108" s="61">
        <v>1000</v>
      </c>
      <c r="C108" s="62">
        <f>4800*E2</f>
        <v>120000</v>
      </c>
      <c r="D108" s="63">
        <f>8000*E2</f>
        <v>200000</v>
      </c>
      <c r="E108" s="63">
        <f>8500*E2</f>
        <v>212500</v>
      </c>
      <c r="F108" s="63">
        <f>9000*E2</f>
        <v>225000</v>
      </c>
      <c r="G108" s="63">
        <f>9500*E2</f>
        <v>237500</v>
      </c>
      <c r="H108" s="63">
        <f>10000*E2</f>
        <v>250000</v>
      </c>
      <c r="I108" s="63">
        <f>11000*E2</f>
        <v>275000</v>
      </c>
      <c r="J108" s="63">
        <f>12000*E2</f>
        <v>300000</v>
      </c>
      <c r="K108" s="63">
        <f>13000*E2</f>
        <v>325000</v>
      </c>
      <c r="L108" s="63">
        <f>14000*E2</f>
        <v>350000</v>
      </c>
      <c r="M108" s="63">
        <f>15000*E2</f>
        <v>375000</v>
      </c>
      <c r="N108" s="63">
        <f>16000*E2</f>
        <v>400000</v>
      </c>
      <c r="O108" s="63">
        <f>17000*E2</f>
        <v>425000</v>
      </c>
      <c r="P108" s="63">
        <f>18000*E2</f>
        <v>450000</v>
      </c>
      <c r="Q108" s="63">
        <f>19000*E2</f>
        <v>475000</v>
      </c>
      <c r="R108" s="63">
        <f>20000*E2</f>
        <v>500000</v>
      </c>
      <c r="S108" s="63">
        <f>21000*E2</f>
        <v>525000</v>
      </c>
      <c r="T108" s="63">
        <f>22000*E2</f>
        <v>550000</v>
      </c>
      <c r="U108" s="63">
        <f>23000*E2</f>
        <v>575000</v>
      </c>
      <c r="V108" s="63">
        <f>24000*E2</f>
        <v>600000</v>
      </c>
      <c r="W108" s="63">
        <f>25000*E2</f>
        <v>625000</v>
      </c>
      <c r="X108" s="63">
        <f>26000*E2</f>
        <v>650000</v>
      </c>
      <c r="Y108" s="63">
        <f>27000*E2</f>
        <v>675000</v>
      </c>
      <c r="Z108" s="63">
        <f>28000*E2</f>
        <v>700000</v>
      </c>
      <c r="AA108" s="53"/>
    </row>
    <row r="109" spans="2:27" ht="12.75">
      <c r="B109" s="61">
        <v>1250</v>
      </c>
      <c r="C109" s="62">
        <f>5400*E2</f>
        <v>135000</v>
      </c>
      <c r="D109" s="63">
        <f>9000*E2</f>
        <v>225000</v>
      </c>
      <c r="E109" s="63">
        <f>9500*E2</f>
        <v>237500</v>
      </c>
      <c r="F109" s="63">
        <f>10000*E2</f>
        <v>250000</v>
      </c>
      <c r="G109" s="63">
        <f>10500*E2</f>
        <v>262500</v>
      </c>
      <c r="H109" s="63">
        <f>11000*E2</f>
        <v>275000</v>
      </c>
      <c r="I109" s="63">
        <f>12000*E2</f>
        <v>300000</v>
      </c>
      <c r="J109" s="63">
        <f>13000*E2</f>
        <v>325000</v>
      </c>
      <c r="K109" s="63">
        <f>14000*E2</f>
        <v>350000</v>
      </c>
      <c r="L109" s="63">
        <f>15000*E2</f>
        <v>375000</v>
      </c>
      <c r="M109" s="63">
        <f>16000*E2</f>
        <v>400000</v>
      </c>
      <c r="N109" s="63">
        <f>17000*E2</f>
        <v>425000</v>
      </c>
      <c r="O109" s="63">
        <f>18000*E2</f>
        <v>450000</v>
      </c>
      <c r="P109" s="63">
        <f>19000*E2</f>
        <v>475000</v>
      </c>
      <c r="Q109" s="63">
        <f>20000*E2</f>
        <v>500000</v>
      </c>
      <c r="R109" s="63">
        <f>21000*E2</f>
        <v>525000</v>
      </c>
      <c r="S109" s="63">
        <f>22000*E2</f>
        <v>550000</v>
      </c>
      <c r="T109" s="63">
        <f>23000*E2</f>
        <v>575000</v>
      </c>
      <c r="U109" s="63">
        <f>24000*E2</f>
        <v>600000</v>
      </c>
      <c r="V109" s="63">
        <f>25000*E2</f>
        <v>625000</v>
      </c>
      <c r="W109" s="63">
        <f>26000*E2</f>
        <v>650000</v>
      </c>
      <c r="X109" s="63">
        <f>27000*E2</f>
        <v>675000</v>
      </c>
      <c r="Y109" s="63">
        <f>28000*E2</f>
        <v>700000</v>
      </c>
      <c r="Z109" s="63">
        <f>29000*E2</f>
        <v>725000</v>
      </c>
      <c r="AA109" s="53"/>
    </row>
    <row r="110" spans="2:27" ht="12.75">
      <c r="B110" s="61">
        <v>1500</v>
      </c>
      <c r="C110" s="62">
        <f>6000*E2</f>
        <v>150000</v>
      </c>
      <c r="D110" s="63">
        <f>10000*E2</f>
        <v>250000</v>
      </c>
      <c r="E110" s="63">
        <f>10500*E2</f>
        <v>262500</v>
      </c>
      <c r="F110" s="63">
        <f>11000*E2</f>
        <v>275000</v>
      </c>
      <c r="G110" s="63">
        <f>11500*E2</f>
        <v>287500</v>
      </c>
      <c r="H110" s="63">
        <f>12000*E2</f>
        <v>300000</v>
      </c>
      <c r="I110" s="63">
        <f>13000*E2</f>
        <v>325000</v>
      </c>
      <c r="J110" s="63">
        <f>14000*E2</f>
        <v>350000</v>
      </c>
      <c r="K110" s="63">
        <f>15000*E2</f>
        <v>375000</v>
      </c>
      <c r="L110" s="63">
        <f>16000*E2</f>
        <v>400000</v>
      </c>
      <c r="M110" s="63">
        <f>17000*E2</f>
        <v>425000</v>
      </c>
      <c r="N110" s="63">
        <f>18000*E2</f>
        <v>450000</v>
      </c>
      <c r="O110" s="63">
        <f>19000*E2</f>
        <v>475000</v>
      </c>
      <c r="P110" s="63">
        <f>20000*E2</f>
        <v>500000</v>
      </c>
      <c r="Q110" s="63">
        <f>21000*E2</f>
        <v>525000</v>
      </c>
      <c r="R110" s="63">
        <f>22000*E2</f>
        <v>550000</v>
      </c>
      <c r="S110" s="63">
        <f>23000*E2</f>
        <v>575000</v>
      </c>
      <c r="T110" s="63">
        <f>24000*E2</f>
        <v>600000</v>
      </c>
      <c r="U110" s="63">
        <f>25000*E2</f>
        <v>625000</v>
      </c>
      <c r="V110" s="63">
        <f>26000*E2</f>
        <v>650000</v>
      </c>
      <c r="W110" s="63">
        <f>27000*E2</f>
        <v>675000</v>
      </c>
      <c r="X110" s="63">
        <f>28000*E2</f>
        <v>700000</v>
      </c>
      <c r="Y110" s="63">
        <f>29000*E2</f>
        <v>725000</v>
      </c>
      <c r="Z110" s="63">
        <f>30000*E2</f>
        <v>750000</v>
      </c>
      <c r="AA110" s="53"/>
    </row>
    <row r="111" spans="2:27" ht="12.75">
      <c r="B111" s="61">
        <v>1750</v>
      </c>
      <c r="C111" s="62">
        <f>6600*E2</f>
        <v>165000</v>
      </c>
      <c r="D111" s="63">
        <f>11000*E2</f>
        <v>275000</v>
      </c>
      <c r="E111" s="63">
        <f>11500*E2</f>
        <v>287500</v>
      </c>
      <c r="F111" s="63">
        <f>12000*E2</f>
        <v>300000</v>
      </c>
      <c r="G111" s="63">
        <f>12500*E2</f>
        <v>312500</v>
      </c>
      <c r="H111" s="63">
        <f>13000*E2</f>
        <v>325000</v>
      </c>
      <c r="I111" s="63">
        <f>14000*E2</f>
        <v>350000</v>
      </c>
      <c r="J111" s="63">
        <f>15000*E2</f>
        <v>375000</v>
      </c>
      <c r="K111" s="63">
        <f>16000*E2</f>
        <v>400000</v>
      </c>
      <c r="L111" s="63">
        <f>17000*E2</f>
        <v>425000</v>
      </c>
      <c r="M111" s="63">
        <f>18000*E2</f>
        <v>450000</v>
      </c>
      <c r="N111" s="63">
        <f>19000*E2</f>
        <v>475000</v>
      </c>
      <c r="O111" s="63">
        <f>20000*E2</f>
        <v>500000</v>
      </c>
      <c r="P111" s="63">
        <f>21000*E2</f>
        <v>525000</v>
      </c>
      <c r="Q111" s="63">
        <f>21000*E2</f>
        <v>525000</v>
      </c>
      <c r="R111" s="63">
        <f>23000*E2</f>
        <v>575000</v>
      </c>
      <c r="S111" s="63">
        <f>24000*E2</f>
        <v>600000</v>
      </c>
      <c r="T111" s="63">
        <f>25000*E2</f>
        <v>625000</v>
      </c>
      <c r="U111" s="63">
        <f>26000*E2</f>
        <v>650000</v>
      </c>
      <c r="V111" s="63">
        <f>27000*E2</f>
        <v>675000</v>
      </c>
      <c r="W111" s="63">
        <f>28000*E2</f>
        <v>700000</v>
      </c>
      <c r="X111" s="63">
        <f>29000*E2</f>
        <v>725000</v>
      </c>
      <c r="Y111" s="63">
        <f>30000*E2</f>
        <v>750000</v>
      </c>
      <c r="Z111" s="63">
        <f>31000*E2</f>
        <v>775000</v>
      </c>
      <c r="AA111" s="53"/>
    </row>
    <row r="112" spans="2:27" ht="12.75">
      <c r="B112" s="61">
        <v>2000</v>
      </c>
      <c r="C112" s="62">
        <f>7200*E2</f>
        <v>180000</v>
      </c>
      <c r="D112" s="63">
        <f>12000*E2</f>
        <v>300000</v>
      </c>
      <c r="E112" s="63">
        <f>12500*E2</f>
        <v>312500</v>
      </c>
      <c r="F112" s="63">
        <f>13000*E2</f>
        <v>325000</v>
      </c>
      <c r="G112" s="63">
        <f>13500*E2</f>
        <v>337500</v>
      </c>
      <c r="H112" s="63">
        <f>14000*E2</f>
        <v>350000</v>
      </c>
      <c r="I112" s="63">
        <f>15000*E2</f>
        <v>375000</v>
      </c>
      <c r="J112" s="63">
        <f>16000*E2</f>
        <v>400000</v>
      </c>
      <c r="K112" s="63">
        <f>17000*E2</f>
        <v>425000</v>
      </c>
      <c r="L112" s="63">
        <f>18000*E2</f>
        <v>450000</v>
      </c>
      <c r="M112" s="63">
        <f>19000*E2</f>
        <v>475000</v>
      </c>
      <c r="N112" s="63">
        <f>20000*E2</f>
        <v>500000</v>
      </c>
      <c r="O112" s="63">
        <f>21000*E2</f>
        <v>525000</v>
      </c>
      <c r="P112" s="63">
        <f>22000*E2</f>
        <v>550000</v>
      </c>
      <c r="Q112" s="63">
        <f>23000*E2</f>
        <v>575000</v>
      </c>
      <c r="R112" s="63">
        <f>24000*E2</f>
        <v>600000</v>
      </c>
      <c r="S112" s="63">
        <f>25000*E2</f>
        <v>625000</v>
      </c>
      <c r="T112" s="63">
        <f>26000*E2</f>
        <v>650000</v>
      </c>
      <c r="U112" s="63">
        <f>27000*E2</f>
        <v>675000</v>
      </c>
      <c r="V112" s="63">
        <f>28000*E2</f>
        <v>700000</v>
      </c>
      <c r="W112" s="63">
        <f>29000*E2</f>
        <v>725000</v>
      </c>
      <c r="X112" s="63">
        <f>30000*E2</f>
        <v>750000</v>
      </c>
      <c r="Y112" s="63">
        <f>31000*E2</f>
        <v>775000</v>
      </c>
      <c r="Z112" s="63">
        <f>32000*E2</f>
        <v>800000</v>
      </c>
      <c r="AA112" s="53"/>
    </row>
    <row r="113" spans="2:27" ht="12.75">
      <c r="B113" s="61">
        <v>2300</v>
      </c>
      <c r="C113" s="62">
        <f>7800*E2</f>
        <v>195000</v>
      </c>
      <c r="D113" s="63">
        <f>13000*E2</f>
        <v>325000</v>
      </c>
      <c r="E113" s="63">
        <f>13500*E2</f>
        <v>337500</v>
      </c>
      <c r="F113" s="63">
        <f>14000*E2</f>
        <v>350000</v>
      </c>
      <c r="G113" s="63">
        <f>14500*E2</f>
        <v>362500</v>
      </c>
      <c r="H113" s="63">
        <f>15000*E2</f>
        <v>375000</v>
      </c>
      <c r="I113" s="63">
        <f>16000*E2</f>
        <v>400000</v>
      </c>
      <c r="J113" s="63">
        <f>17000*E2</f>
        <v>425000</v>
      </c>
      <c r="K113" s="63">
        <f>18000*E2</f>
        <v>450000</v>
      </c>
      <c r="L113" s="63">
        <f>19000*E2</f>
        <v>475000</v>
      </c>
      <c r="M113" s="63">
        <f>20000*E2</f>
        <v>500000</v>
      </c>
      <c r="N113" s="63">
        <f>21000*E2</f>
        <v>525000</v>
      </c>
      <c r="O113" s="63">
        <f>22000*E2</f>
        <v>550000</v>
      </c>
      <c r="P113" s="63">
        <f>23000*E2</f>
        <v>575000</v>
      </c>
      <c r="Q113" s="63">
        <f>24000*E2</f>
        <v>600000</v>
      </c>
      <c r="R113" s="63">
        <f>25000*E2</f>
        <v>625000</v>
      </c>
      <c r="S113" s="63">
        <f>26000*E2</f>
        <v>650000</v>
      </c>
      <c r="T113" s="63">
        <f>27000*E2</f>
        <v>675000</v>
      </c>
      <c r="U113" s="63">
        <f>28000*E2</f>
        <v>700000</v>
      </c>
      <c r="V113" s="63">
        <f>29000*E2</f>
        <v>725000</v>
      </c>
      <c r="W113" s="63">
        <f>30000*E2</f>
        <v>750000</v>
      </c>
      <c r="X113" s="63">
        <f>31000*E2</f>
        <v>775000</v>
      </c>
      <c r="Y113" s="63">
        <f>32000*E2</f>
        <v>800000</v>
      </c>
      <c r="Z113" s="63">
        <f>33000*E2</f>
        <v>825000</v>
      </c>
      <c r="AA113" s="53"/>
    </row>
    <row r="114" spans="2:27" ht="12.75">
      <c r="B114" s="61">
        <v>2600</v>
      </c>
      <c r="C114" s="62">
        <f>8400*E2</f>
        <v>210000</v>
      </c>
      <c r="D114" s="63">
        <f>14000*E2</f>
        <v>350000</v>
      </c>
      <c r="E114" s="63">
        <f>14500*E2</f>
        <v>362500</v>
      </c>
      <c r="F114" s="63">
        <f>15000*E2</f>
        <v>375000</v>
      </c>
      <c r="G114" s="63">
        <f>15500*E2</f>
        <v>387500</v>
      </c>
      <c r="H114" s="63">
        <f>16000*E2</f>
        <v>400000</v>
      </c>
      <c r="I114" s="63">
        <f>17000*E2</f>
        <v>425000</v>
      </c>
      <c r="J114" s="63">
        <f>18000*E2</f>
        <v>450000</v>
      </c>
      <c r="K114" s="63">
        <f>19000*E2</f>
        <v>475000</v>
      </c>
      <c r="L114" s="63">
        <f>20000*E2</f>
        <v>500000</v>
      </c>
      <c r="M114" s="63">
        <f>21000*E2</f>
        <v>525000</v>
      </c>
      <c r="N114" s="63">
        <f>22000*E2</f>
        <v>550000</v>
      </c>
      <c r="O114" s="63">
        <f>23000*E2</f>
        <v>575000</v>
      </c>
      <c r="P114" s="63">
        <f>24000*E2</f>
        <v>600000</v>
      </c>
      <c r="Q114" s="63">
        <f>25000*E2</f>
        <v>625000</v>
      </c>
      <c r="R114" s="63">
        <f>26000*E2</f>
        <v>650000</v>
      </c>
      <c r="S114" s="63">
        <f>27000*E2</f>
        <v>675000</v>
      </c>
      <c r="T114" s="63">
        <f>28000*E2</f>
        <v>700000</v>
      </c>
      <c r="U114" s="63">
        <f>29000*E2</f>
        <v>725000</v>
      </c>
      <c r="V114" s="63">
        <f>30000*E2</f>
        <v>750000</v>
      </c>
      <c r="W114" s="63">
        <f>31000*E2</f>
        <v>775000</v>
      </c>
      <c r="X114" s="63">
        <f>32000*E2</f>
        <v>800000</v>
      </c>
      <c r="Y114" s="63">
        <f>33000*E2</f>
        <v>825000</v>
      </c>
      <c r="Z114" s="63">
        <f>34000*E2</f>
        <v>850000</v>
      </c>
      <c r="AA114" s="53"/>
    </row>
    <row r="115" spans="2:27" ht="12.75">
      <c r="B115" s="61">
        <v>3000</v>
      </c>
      <c r="C115" s="62">
        <f>9000*E2</f>
        <v>225000</v>
      </c>
      <c r="D115" s="63">
        <f>15000*E2</f>
        <v>375000</v>
      </c>
      <c r="E115" s="63">
        <f>15500*E2</f>
        <v>387500</v>
      </c>
      <c r="F115" s="63">
        <f>16000*E2</f>
        <v>400000</v>
      </c>
      <c r="G115" s="63">
        <f>16500*E2</f>
        <v>412500</v>
      </c>
      <c r="H115" s="63">
        <f>17000*E2</f>
        <v>425000</v>
      </c>
      <c r="I115" s="63">
        <f>18000*E2</f>
        <v>450000</v>
      </c>
      <c r="J115" s="63">
        <f>19000*E2</f>
        <v>475000</v>
      </c>
      <c r="K115" s="63">
        <f>20000*E2</f>
        <v>500000</v>
      </c>
      <c r="L115" s="63">
        <f>21000*E2</f>
        <v>525000</v>
      </c>
      <c r="M115" s="63">
        <f>22000*E2</f>
        <v>550000</v>
      </c>
      <c r="N115" s="63">
        <f>23000*E2</f>
        <v>575000</v>
      </c>
      <c r="O115" s="63">
        <f>24000*E2</f>
        <v>600000</v>
      </c>
      <c r="P115" s="63">
        <f>25000*E2</f>
        <v>625000</v>
      </c>
      <c r="Q115" s="63">
        <f>26000*E2</f>
        <v>650000</v>
      </c>
      <c r="R115" s="63">
        <f>27000*E2</f>
        <v>675000</v>
      </c>
      <c r="S115" s="63">
        <f>28000*E2</f>
        <v>700000</v>
      </c>
      <c r="T115" s="63">
        <f>29000*E2</f>
        <v>725000</v>
      </c>
      <c r="U115" s="63">
        <f>30000*E2</f>
        <v>750000</v>
      </c>
      <c r="V115" s="63">
        <f>31000*E2</f>
        <v>775000</v>
      </c>
      <c r="W115" s="63">
        <f>32000*E2</f>
        <v>800000</v>
      </c>
      <c r="X115" s="63">
        <f>33000*E2</f>
        <v>825000</v>
      </c>
      <c r="Y115" s="63">
        <f>34000*E2</f>
        <v>850000</v>
      </c>
      <c r="Z115" s="63">
        <f>35000*E2</f>
        <v>875000</v>
      </c>
      <c r="AA115" s="53"/>
    </row>
    <row r="116" spans="2:27" ht="12.75">
      <c r="B116" s="61">
        <v>3400</v>
      </c>
      <c r="C116" s="62">
        <f>9600*E2</f>
        <v>240000</v>
      </c>
      <c r="D116" s="63">
        <f>16000*E2</f>
        <v>400000</v>
      </c>
      <c r="E116" s="63">
        <f>16500*E2</f>
        <v>412500</v>
      </c>
      <c r="F116" s="63">
        <f>17000*E2</f>
        <v>425000</v>
      </c>
      <c r="G116" s="63">
        <f>17500*E2</f>
        <v>437500</v>
      </c>
      <c r="H116" s="63">
        <f>18000*E2</f>
        <v>450000</v>
      </c>
      <c r="I116" s="63">
        <f>19000*E2</f>
        <v>475000</v>
      </c>
      <c r="J116" s="63">
        <f>20000*E2</f>
        <v>500000</v>
      </c>
      <c r="K116" s="63">
        <f>21000*E2</f>
        <v>525000</v>
      </c>
      <c r="L116" s="63">
        <f>22000*E2</f>
        <v>550000</v>
      </c>
      <c r="M116" s="63">
        <f>23000*E2</f>
        <v>575000</v>
      </c>
      <c r="N116" s="63">
        <f>24000*E2</f>
        <v>600000</v>
      </c>
      <c r="O116" s="63">
        <f>25000*E2</f>
        <v>625000</v>
      </c>
      <c r="P116" s="63">
        <f>26000*E2</f>
        <v>650000</v>
      </c>
      <c r="Q116" s="63">
        <f>27000*E2</f>
        <v>675000</v>
      </c>
      <c r="R116" s="63">
        <f>28000*E2</f>
        <v>700000</v>
      </c>
      <c r="S116" s="63">
        <f>29000*E2</f>
        <v>725000</v>
      </c>
      <c r="T116" s="63">
        <f>30000*E2</f>
        <v>750000</v>
      </c>
      <c r="U116" s="63">
        <f>31000*E2</f>
        <v>775000</v>
      </c>
      <c r="V116" s="63">
        <f>32000*E2</f>
        <v>800000</v>
      </c>
      <c r="W116" s="63">
        <f>33000*E2</f>
        <v>825000</v>
      </c>
      <c r="X116" s="63">
        <f>34000*E2</f>
        <v>850000</v>
      </c>
      <c r="Y116" s="63">
        <f>35000*E2</f>
        <v>875000</v>
      </c>
      <c r="Z116" s="63">
        <f>36000*E2</f>
        <v>900000</v>
      </c>
      <c r="AA116" s="53"/>
    </row>
    <row r="117" spans="2:27" ht="12.75">
      <c r="B117" s="61">
        <v>3800</v>
      </c>
      <c r="C117" s="62">
        <f>10200*E2</f>
        <v>255000</v>
      </c>
      <c r="D117" s="63">
        <f>17000*E2</f>
        <v>425000</v>
      </c>
      <c r="E117" s="63">
        <f>17500*E2</f>
        <v>437500</v>
      </c>
      <c r="F117" s="63">
        <f>18000*E2</f>
        <v>450000</v>
      </c>
      <c r="G117" s="63">
        <f>18500*E2</f>
        <v>462500</v>
      </c>
      <c r="H117" s="63">
        <f>19000*E2</f>
        <v>475000</v>
      </c>
      <c r="I117" s="63">
        <f>20000*E2</f>
        <v>500000</v>
      </c>
      <c r="J117" s="63">
        <f>21000*E2</f>
        <v>525000</v>
      </c>
      <c r="K117" s="63">
        <f>22000*E2</f>
        <v>550000</v>
      </c>
      <c r="L117" s="63">
        <f>23000*E2</f>
        <v>575000</v>
      </c>
      <c r="M117" s="63">
        <f>24000*E2</f>
        <v>600000</v>
      </c>
      <c r="N117" s="63">
        <f>25000*E2</f>
        <v>625000</v>
      </c>
      <c r="O117" s="63">
        <f>26000*E2</f>
        <v>650000</v>
      </c>
      <c r="P117" s="63">
        <f>27000*E2</f>
        <v>675000</v>
      </c>
      <c r="Q117" s="63">
        <f>28000*E2</f>
        <v>700000</v>
      </c>
      <c r="R117" s="63">
        <f>29000*E2</f>
        <v>725000</v>
      </c>
      <c r="S117" s="63">
        <f>30000*E2</f>
        <v>750000</v>
      </c>
      <c r="T117" s="63">
        <f>31000*E2</f>
        <v>775000</v>
      </c>
      <c r="U117" s="63">
        <f>32000*E2</f>
        <v>800000</v>
      </c>
      <c r="V117" s="63">
        <f>33000*E2</f>
        <v>825000</v>
      </c>
      <c r="W117" s="63">
        <f>34000*E2</f>
        <v>850000</v>
      </c>
      <c r="X117" s="63">
        <f>35000*E2</f>
        <v>875000</v>
      </c>
      <c r="Y117" s="63">
        <f>36000*E2</f>
        <v>900000</v>
      </c>
      <c r="Z117" s="63">
        <f>37000*E2</f>
        <v>925000</v>
      </c>
      <c r="AA117" s="53"/>
    </row>
    <row r="118" spans="2:27" ht="12.75">
      <c r="B118" s="61">
        <v>4200</v>
      </c>
      <c r="C118" s="62">
        <f>10800*E2</f>
        <v>270000</v>
      </c>
      <c r="D118" s="63">
        <f>18000*E2</f>
        <v>450000</v>
      </c>
      <c r="E118" s="63">
        <f>18500*E2</f>
        <v>462500</v>
      </c>
      <c r="F118" s="63">
        <f>19000*E2</f>
        <v>475000</v>
      </c>
      <c r="G118" s="63">
        <f>19500*E2</f>
        <v>487500</v>
      </c>
      <c r="H118" s="63">
        <f>20000*E2</f>
        <v>500000</v>
      </c>
      <c r="I118" s="63">
        <f>21000*E2</f>
        <v>525000</v>
      </c>
      <c r="J118" s="63">
        <f>22000*E2</f>
        <v>550000</v>
      </c>
      <c r="K118" s="63">
        <f>23000*E2</f>
        <v>575000</v>
      </c>
      <c r="L118" s="63">
        <f>24000*E2</f>
        <v>600000</v>
      </c>
      <c r="M118" s="63">
        <f>25000*E2</f>
        <v>625000</v>
      </c>
      <c r="N118" s="63">
        <f>26000*E2</f>
        <v>650000</v>
      </c>
      <c r="O118" s="63">
        <f>27000*E2</f>
        <v>675000</v>
      </c>
      <c r="P118" s="63">
        <f>28000*E2</f>
        <v>700000</v>
      </c>
      <c r="Q118" s="63">
        <f>29000*E2</f>
        <v>725000</v>
      </c>
      <c r="R118" s="63">
        <f>30000*E2</f>
        <v>750000</v>
      </c>
      <c r="S118" s="63">
        <f>31000*E2</f>
        <v>775000</v>
      </c>
      <c r="T118" s="63">
        <f>32000*E2</f>
        <v>800000</v>
      </c>
      <c r="U118" s="63">
        <f>33000*E2</f>
        <v>825000</v>
      </c>
      <c r="V118" s="63">
        <f>34000*E2</f>
        <v>850000</v>
      </c>
      <c r="W118" s="63">
        <f>35000*E2</f>
        <v>875000</v>
      </c>
      <c r="X118" s="63">
        <f>36000*E2</f>
        <v>900000</v>
      </c>
      <c r="Y118" s="63">
        <f>37000*E2</f>
        <v>925000</v>
      </c>
      <c r="Z118" s="63">
        <f>38000*E2</f>
        <v>950000</v>
      </c>
      <c r="AA118" s="53"/>
    </row>
    <row r="119" spans="2:27" ht="12.75">
      <c r="B119" s="61">
        <v>4600</v>
      </c>
      <c r="C119" s="62">
        <f>11400*E2</f>
        <v>285000</v>
      </c>
      <c r="D119" s="63">
        <f>19000*E2</f>
        <v>475000</v>
      </c>
      <c r="E119" s="63">
        <f>19500*E2</f>
        <v>487500</v>
      </c>
      <c r="F119" s="63">
        <f>20000*E2</f>
        <v>500000</v>
      </c>
      <c r="G119" s="63">
        <f>20500*E2</f>
        <v>512500</v>
      </c>
      <c r="H119" s="63">
        <f>21000*E2</f>
        <v>525000</v>
      </c>
      <c r="I119" s="63">
        <f>22000*E2</f>
        <v>550000</v>
      </c>
      <c r="J119" s="63">
        <f>23000*E2</f>
        <v>575000</v>
      </c>
      <c r="K119" s="63">
        <f>24000*E2</f>
        <v>600000</v>
      </c>
      <c r="L119" s="63">
        <f>25000*E2</f>
        <v>625000</v>
      </c>
      <c r="M119" s="63">
        <f>26000*E2</f>
        <v>650000</v>
      </c>
      <c r="N119" s="63">
        <f>27000*E2</f>
        <v>675000</v>
      </c>
      <c r="O119" s="63">
        <f>28000*E2</f>
        <v>700000</v>
      </c>
      <c r="P119" s="63">
        <f>29000*E2</f>
        <v>725000</v>
      </c>
      <c r="Q119" s="63">
        <f>30000*E2</f>
        <v>750000</v>
      </c>
      <c r="R119" s="63">
        <f>31000*E2</f>
        <v>775000</v>
      </c>
      <c r="S119" s="63">
        <f>32000*E2</f>
        <v>800000</v>
      </c>
      <c r="T119" s="63">
        <f>33000*E2</f>
        <v>825000</v>
      </c>
      <c r="U119" s="63">
        <f>34000*E2</f>
        <v>850000</v>
      </c>
      <c r="V119" s="63">
        <f>35000*E2</f>
        <v>875000</v>
      </c>
      <c r="W119" s="63">
        <f>36000*E2</f>
        <v>900000</v>
      </c>
      <c r="X119" s="63">
        <f>37000*E2</f>
        <v>925000</v>
      </c>
      <c r="Y119" s="63">
        <f>38000*E2</f>
        <v>950000</v>
      </c>
      <c r="Z119" s="63">
        <f>39000*E2</f>
        <v>975000</v>
      </c>
      <c r="AA119" s="53"/>
    </row>
    <row r="120" spans="2:27" ht="12.75">
      <c r="B120" s="61">
        <v>5000</v>
      </c>
      <c r="C120" s="62">
        <f>12000*E2</f>
        <v>300000</v>
      </c>
      <c r="D120" s="63">
        <f>20000*E2</f>
        <v>500000</v>
      </c>
      <c r="E120" s="63">
        <f>20500*E2</f>
        <v>512500</v>
      </c>
      <c r="F120" s="63">
        <f>21000*E2</f>
        <v>525000</v>
      </c>
      <c r="G120" s="63">
        <f>21500*E2</f>
        <v>537500</v>
      </c>
      <c r="H120" s="63">
        <f>22000*E2</f>
        <v>550000</v>
      </c>
      <c r="I120" s="63">
        <f>23000*E2</f>
        <v>575000</v>
      </c>
      <c r="J120" s="63">
        <f>24000*E2</f>
        <v>600000</v>
      </c>
      <c r="K120" s="63">
        <f>25000*E2</f>
        <v>625000</v>
      </c>
      <c r="L120" s="63">
        <f>26000*E2</f>
        <v>650000</v>
      </c>
      <c r="M120" s="63">
        <f>27000*E2</f>
        <v>675000</v>
      </c>
      <c r="N120" s="63">
        <f>28000*E2</f>
        <v>700000</v>
      </c>
      <c r="O120" s="63">
        <f>29000*E2</f>
        <v>725000</v>
      </c>
      <c r="P120" s="63">
        <f>30000*E2</f>
        <v>750000</v>
      </c>
      <c r="Q120" s="63">
        <f>31000*E2</f>
        <v>775000</v>
      </c>
      <c r="R120" s="63">
        <f>32000*E2</f>
        <v>800000</v>
      </c>
      <c r="S120" s="63">
        <f>33000*E2</f>
        <v>825000</v>
      </c>
      <c r="T120" s="63">
        <f>34000*E2</f>
        <v>850000</v>
      </c>
      <c r="U120" s="63">
        <f>35000*E2</f>
        <v>875000</v>
      </c>
      <c r="V120" s="63">
        <f>36000*E2</f>
        <v>900000</v>
      </c>
      <c r="W120" s="63">
        <f>37000*E2</f>
        <v>925000</v>
      </c>
      <c r="X120" s="63">
        <f>38000*E2</f>
        <v>950000</v>
      </c>
      <c r="Y120" s="63">
        <f>39000*E2</f>
        <v>975000</v>
      </c>
      <c r="Z120" s="63">
        <f>40000*E2</f>
        <v>1000000</v>
      </c>
      <c r="AA120" s="53"/>
    </row>
    <row r="121" spans="2:27" ht="12.75">
      <c r="B121" s="64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53"/>
    </row>
    <row r="122" spans="2:27" ht="12.75">
      <c r="B122" s="64"/>
      <c r="C122" s="17" t="s">
        <v>40</v>
      </c>
      <c r="D122" s="17"/>
      <c r="E122" s="55">
        <f>Z91</f>
        <v>37500000</v>
      </c>
      <c r="F122" s="17" t="s">
        <v>41</v>
      </c>
      <c r="G122" s="17"/>
      <c r="H122" s="17"/>
      <c r="I122" s="17"/>
      <c r="J122" s="54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53"/>
    </row>
    <row r="123" spans="2:27" ht="12.75">
      <c r="B123" s="65"/>
      <c r="C123" s="17" t="s">
        <v>42</v>
      </c>
      <c r="D123" s="17"/>
      <c r="E123" s="17"/>
      <c r="F123" s="66">
        <f>200*E2</f>
        <v>5000</v>
      </c>
      <c r="G123" s="17"/>
      <c r="H123" s="6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53"/>
    </row>
    <row r="124" spans="2:27" ht="12.75"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70"/>
    </row>
    <row r="128" spans="11:28" ht="15.75">
      <c r="K128" s="71"/>
      <c r="L128" s="71"/>
      <c r="M128" s="71"/>
      <c r="N128" s="71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</sheetData>
  <sheetProtection password="C5B2" sheet="1"/>
  <mergeCells count="35">
    <mergeCell ref="J14:K14"/>
    <mergeCell ref="L14:M14"/>
    <mergeCell ref="B2:D2"/>
    <mergeCell ref="B4:M4"/>
    <mergeCell ref="B5:C5"/>
    <mergeCell ref="D5:E5"/>
    <mergeCell ref="F5:G5"/>
    <mergeCell ref="H5:I5"/>
    <mergeCell ref="J5:K5"/>
    <mergeCell ref="L5:M5"/>
    <mergeCell ref="B14:C14"/>
    <mergeCell ref="D14:E14"/>
    <mergeCell ref="F14:G14"/>
    <mergeCell ref="H14:I14"/>
    <mergeCell ref="B60:E60"/>
    <mergeCell ref="B62:C62"/>
    <mergeCell ref="D62:E62"/>
    <mergeCell ref="B24:E24"/>
    <mergeCell ref="B25:C25"/>
    <mergeCell ref="D25:E25"/>
    <mergeCell ref="B37:E37"/>
    <mergeCell ref="B38:C38"/>
    <mergeCell ref="D38:E38"/>
    <mergeCell ref="B50:G50"/>
    <mergeCell ref="B51:C51"/>
    <mergeCell ref="D51:E51"/>
    <mergeCell ref="F51:G51"/>
    <mergeCell ref="B84:B85"/>
    <mergeCell ref="B88:B91"/>
    <mergeCell ref="B71:E71"/>
    <mergeCell ref="B72:C72"/>
    <mergeCell ref="D72:E72"/>
    <mergeCell ref="B81:E81"/>
    <mergeCell ref="C82:D82"/>
    <mergeCell ref="C83:D83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3"/>
  <sheetViews>
    <sheetView zoomScale="90" zoomScaleNormal="90" zoomScalePageLayoutView="0" workbookViewId="0" topLeftCell="A1">
      <selection activeCell="E19" sqref="E19"/>
    </sheetView>
  </sheetViews>
  <sheetFormatPr defaultColWidth="11.421875" defaultRowHeight="12.75"/>
  <cols>
    <col min="1" max="1" width="15.28125" style="1" customWidth="1"/>
    <col min="2" max="2" width="41.421875" style="1" customWidth="1"/>
    <col min="3" max="3" width="17.7109375" style="1" customWidth="1"/>
    <col min="4" max="4" width="18.00390625" style="1" customWidth="1"/>
    <col min="5" max="5" width="17.57421875" style="1" customWidth="1"/>
    <col min="6" max="6" width="17.421875" style="1" customWidth="1"/>
    <col min="7" max="7" width="15.140625" style="1" customWidth="1"/>
    <col min="8" max="8" width="31.8515625" style="1" customWidth="1"/>
    <col min="9" max="9" width="35.7109375" style="1" customWidth="1"/>
    <col min="10" max="10" width="17.140625" style="1" customWidth="1"/>
    <col min="11" max="11" width="16.8515625" style="1" customWidth="1"/>
    <col min="12" max="12" width="17.28125" style="1" customWidth="1"/>
    <col min="13" max="13" width="16.28125" style="1" customWidth="1"/>
    <col min="14" max="14" width="16.8515625" style="1" customWidth="1"/>
    <col min="15" max="17" width="11.421875" style="1" customWidth="1"/>
    <col min="18" max="18" width="17.7109375" style="1" customWidth="1"/>
    <col min="19" max="19" width="15.421875" style="1" customWidth="1"/>
    <col min="20" max="16384" width="11.421875" style="1" customWidth="1"/>
  </cols>
  <sheetData>
    <row r="1" spans="2:6" ht="12.75">
      <c r="B1" s="141" t="s">
        <v>43</v>
      </c>
      <c r="C1" s="142"/>
      <c r="D1" s="142"/>
      <c r="F1" s="141" t="s">
        <v>202</v>
      </c>
    </row>
    <row r="2" ht="12.75">
      <c r="F2" s="141" t="s">
        <v>203</v>
      </c>
    </row>
    <row r="3" spans="2:7" ht="16.5">
      <c r="B3" s="251" t="s">
        <v>44</v>
      </c>
      <c r="C3" s="251"/>
      <c r="D3" s="251"/>
      <c r="E3" s="251"/>
      <c r="F3" s="143" t="s">
        <v>45</v>
      </c>
      <c r="G3" s="144">
        <v>78.57</v>
      </c>
    </row>
    <row r="4" spans="7:14" ht="12.75">
      <c r="G4" s="145"/>
      <c r="K4" s="146" t="s">
        <v>46</v>
      </c>
      <c r="L4" s="147" t="s">
        <v>47</v>
      </c>
      <c r="M4" s="147" t="s">
        <v>48</v>
      </c>
      <c r="N4" s="147" t="s">
        <v>49</v>
      </c>
    </row>
    <row r="5" spans="2:10" ht="12.75">
      <c r="B5" s="148" t="s">
        <v>50</v>
      </c>
      <c r="C5" s="149">
        <v>500000</v>
      </c>
      <c r="D5" s="147" t="s">
        <v>47</v>
      </c>
      <c r="E5" s="147" t="s">
        <v>48</v>
      </c>
      <c r="F5" s="152" t="s">
        <v>49</v>
      </c>
      <c r="G5" s="145" t="s">
        <v>51</v>
      </c>
      <c r="J5" s="153">
        <f>ROUND(9611*C8,0)</f>
        <v>240275</v>
      </c>
    </row>
    <row r="6" spans="2:19" ht="12.75">
      <c r="B6" s="148" t="s">
        <v>52</v>
      </c>
      <c r="C6" s="154">
        <f>5000*C8</f>
        <v>125000</v>
      </c>
      <c r="E6" s="155"/>
      <c r="G6" s="145" t="s">
        <v>53</v>
      </c>
      <c r="J6" s="156"/>
      <c r="S6" s="153"/>
    </row>
    <row r="7" spans="2:19" ht="12.75">
      <c r="B7" s="79" t="s">
        <v>54</v>
      </c>
      <c r="C7" s="157">
        <v>1</v>
      </c>
      <c r="E7" s="158"/>
      <c r="G7" s="145" t="s">
        <v>55</v>
      </c>
      <c r="J7" s="153">
        <f>ROUND(34320*C8,0)</f>
        <v>858000</v>
      </c>
      <c r="K7" s="142">
        <f>A13</f>
        <v>680950</v>
      </c>
      <c r="L7" s="159">
        <f>D13</f>
        <v>68095</v>
      </c>
      <c r="M7" s="159">
        <f>L7</f>
        <v>68095</v>
      </c>
      <c r="N7" s="159">
        <f>F13</f>
        <v>40860</v>
      </c>
      <c r="O7" s="160">
        <f>K7+L7+M7+N7</f>
        <v>858000</v>
      </c>
      <c r="S7" s="153"/>
    </row>
    <row r="8" spans="2:19" ht="12.75">
      <c r="B8" s="148" t="s">
        <v>56</v>
      </c>
      <c r="C8" s="161">
        <v>25</v>
      </c>
      <c r="E8" s="158"/>
      <c r="G8" s="145" t="s">
        <v>57</v>
      </c>
      <c r="J8" s="153">
        <f>J5</f>
        <v>240275</v>
      </c>
      <c r="S8" s="153"/>
    </row>
    <row r="9" spans="2:22" ht="12.75">
      <c r="B9" s="1" t="s">
        <v>58</v>
      </c>
      <c r="C9" s="162"/>
      <c r="E9" s="158"/>
      <c r="G9" s="145" t="s">
        <v>59</v>
      </c>
      <c r="J9" s="153">
        <f>ROUND(J5*1.4244,0)</f>
        <v>342248</v>
      </c>
      <c r="N9" s="79"/>
      <c r="S9" s="163"/>
      <c r="U9" s="85"/>
      <c r="V9" s="85"/>
    </row>
    <row r="10" spans="2:19" ht="12.75">
      <c r="B10" s="1" t="s">
        <v>60</v>
      </c>
      <c r="C10" s="164">
        <f>ROUND((C6*76)/10000,0)</f>
        <v>950</v>
      </c>
      <c r="E10" s="165"/>
      <c r="G10" s="145" t="s">
        <v>61</v>
      </c>
      <c r="J10" s="153">
        <f>ROUND(6540*C8,0)</f>
        <v>163500</v>
      </c>
      <c r="N10" s="79"/>
      <c r="S10" s="85"/>
    </row>
    <row r="11" spans="2:19" ht="12.75">
      <c r="B11" s="1" t="s">
        <v>62</v>
      </c>
      <c r="C11" s="153"/>
      <c r="E11" s="155"/>
      <c r="G11" s="145" t="s">
        <v>63</v>
      </c>
      <c r="J11" s="153">
        <f>ROUND(16343*C8,0)</f>
        <v>408575</v>
      </c>
      <c r="N11" s="79"/>
      <c r="S11" s="85"/>
    </row>
    <row r="12" spans="2:10" ht="12.75">
      <c r="B12" s="1" t="s">
        <v>64</v>
      </c>
      <c r="C12" s="153">
        <f>9120*C8</f>
        <v>228000</v>
      </c>
      <c r="E12" s="155"/>
      <c r="G12" s="145" t="s">
        <v>65</v>
      </c>
      <c r="J12" s="153">
        <f>ROUND(6863*C8,0)</f>
        <v>171575</v>
      </c>
    </row>
    <row r="13" spans="1:10" ht="12.75">
      <c r="A13" s="142">
        <v>680950</v>
      </c>
      <c r="B13" s="1" t="s">
        <v>66</v>
      </c>
      <c r="C13" s="153">
        <f>34320*C8</f>
        <v>858000</v>
      </c>
      <c r="D13" s="159">
        <v>68095</v>
      </c>
      <c r="E13" s="159">
        <v>68095</v>
      </c>
      <c r="F13" s="159">
        <v>40860</v>
      </c>
      <c r="G13" s="145" t="s">
        <v>67</v>
      </c>
      <c r="J13" s="153">
        <f>ROUND(8554*C8,0)</f>
        <v>213850</v>
      </c>
    </row>
    <row r="14" spans="1:17" ht="12.75">
      <c r="A14" s="142">
        <v>476764</v>
      </c>
      <c r="B14" s="1" t="s">
        <v>68</v>
      </c>
      <c r="C14" s="153">
        <f>ROUND(24029*C8,0)</f>
        <v>600725</v>
      </c>
      <c r="D14" s="159">
        <v>47676</v>
      </c>
      <c r="E14" s="159">
        <v>47676</v>
      </c>
      <c r="F14" s="159">
        <v>28609</v>
      </c>
      <c r="G14" s="145" t="s">
        <v>69</v>
      </c>
      <c r="J14" s="153">
        <f>C6</f>
        <v>125000</v>
      </c>
      <c r="N14" s="81"/>
      <c r="O14" s="81"/>
      <c r="P14" s="81"/>
      <c r="Q14" s="81"/>
    </row>
    <row r="15" spans="1:20" ht="12.75">
      <c r="A15" s="142">
        <v>544920</v>
      </c>
      <c r="B15" s="1" t="s">
        <v>70</v>
      </c>
      <c r="C15" s="153">
        <f>ROUND(27464*C8,0)</f>
        <v>686600</v>
      </c>
      <c r="D15" s="159">
        <v>54492</v>
      </c>
      <c r="E15" s="159">
        <v>54492</v>
      </c>
      <c r="F15" s="159">
        <v>32696</v>
      </c>
      <c r="G15" s="145" t="s">
        <v>71</v>
      </c>
      <c r="J15" s="153">
        <f>ROUND(720*C8,0)</f>
        <v>18000</v>
      </c>
      <c r="N15" s="74"/>
      <c r="O15" s="74"/>
      <c r="P15" s="166"/>
      <c r="Q15" s="74"/>
      <c r="R15" s="167"/>
      <c r="S15" s="168"/>
      <c r="T15" s="167"/>
    </row>
    <row r="16" spans="2:20" ht="12.75">
      <c r="B16" s="1" t="s">
        <v>72</v>
      </c>
      <c r="C16" s="153">
        <f>K57</f>
        <v>12000</v>
      </c>
      <c r="E16" s="155"/>
      <c r="G16" s="145" t="s">
        <v>73</v>
      </c>
      <c r="J16" s="153">
        <f>ROUND(26149*C8,0)</f>
        <v>653725</v>
      </c>
      <c r="K16" s="142">
        <v>544771</v>
      </c>
      <c r="L16" s="159">
        <v>54477</v>
      </c>
      <c r="M16" s="159">
        <v>54477</v>
      </c>
      <c r="N16" s="74">
        <f>K16+L16+M16</f>
        <v>653725</v>
      </c>
      <c r="O16" s="74"/>
      <c r="P16" s="166"/>
      <c r="Q16" s="74"/>
      <c r="R16" s="169"/>
      <c r="S16" s="168"/>
      <c r="T16" s="167"/>
    </row>
    <row r="17" spans="2:20" ht="12.75">
      <c r="B17" s="1" t="s">
        <v>74</v>
      </c>
      <c r="C17" s="153">
        <f>14000*C8</f>
        <v>350000</v>
      </c>
      <c r="D17" s="1" t="s">
        <v>75</v>
      </c>
      <c r="E17" s="155"/>
      <c r="G17" s="170" t="s">
        <v>76</v>
      </c>
      <c r="J17" s="153">
        <f>ROUND(16342.3*C8,0)</f>
        <v>408558</v>
      </c>
      <c r="N17" s="74"/>
      <c r="O17" s="74"/>
      <c r="P17" s="166"/>
      <c r="Q17" s="74"/>
      <c r="R17" s="169"/>
      <c r="S17" s="168"/>
      <c r="T17" s="167"/>
    </row>
    <row r="18" spans="2:20" ht="12.75">
      <c r="B18" s="1" t="s">
        <v>77</v>
      </c>
      <c r="C18" s="153">
        <f>10000*C8</f>
        <v>250000</v>
      </c>
      <c r="G18" s="171" t="s">
        <v>204</v>
      </c>
      <c r="H18" s="172"/>
      <c r="I18" s="172"/>
      <c r="J18" s="153">
        <f>ROUND(19223*C8,0)</f>
        <v>480575</v>
      </c>
      <c r="K18" s="173">
        <v>381410</v>
      </c>
      <c r="L18" s="173">
        <v>38141</v>
      </c>
      <c r="M18" s="173">
        <v>38141</v>
      </c>
      <c r="N18" s="174">
        <v>22883</v>
      </c>
      <c r="O18" s="74">
        <f>K18+L18+M18+N18</f>
        <v>480575</v>
      </c>
      <c r="P18" s="166"/>
      <c r="Q18" s="74"/>
      <c r="R18" s="169"/>
      <c r="S18" s="168"/>
      <c r="T18" s="167"/>
    </row>
    <row r="19" spans="2:20" ht="12.75">
      <c r="B19" s="1" t="s">
        <v>78</v>
      </c>
      <c r="C19" s="153">
        <f>16000*C8</f>
        <v>400000</v>
      </c>
      <c r="G19" s="145" t="s">
        <v>79</v>
      </c>
      <c r="I19" s="175" t="s">
        <v>80</v>
      </c>
      <c r="J19" s="176">
        <f>ROUND(16676*C8,0)</f>
        <v>416900</v>
      </c>
      <c r="K19" s="177"/>
      <c r="N19" s="74"/>
      <c r="O19" s="74"/>
      <c r="P19" s="166"/>
      <c r="Q19" s="74"/>
      <c r="R19" s="169"/>
      <c r="S19" s="168"/>
      <c r="T19" s="167"/>
    </row>
    <row r="20" spans="2:17" ht="12.75">
      <c r="B20" s="1" t="s">
        <v>81</v>
      </c>
      <c r="C20" s="153">
        <f>C5*0.36</f>
        <v>180000</v>
      </c>
      <c r="E20" s="155"/>
      <c r="G20" s="170" t="s">
        <v>82</v>
      </c>
      <c r="H20" s="178">
        <f>J20-J19</f>
        <v>416900</v>
      </c>
      <c r="I20" s="175" t="s">
        <v>80</v>
      </c>
      <c r="J20" s="179">
        <f>J19*2</f>
        <v>833800</v>
      </c>
      <c r="K20" s="180"/>
      <c r="N20" s="74"/>
      <c r="O20" s="74"/>
      <c r="P20" s="166"/>
      <c r="Q20" s="74"/>
    </row>
    <row r="21" spans="2:17" ht="12.75">
      <c r="B21" s="1" t="s">
        <v>83</v>
      </c>
      <c r="C21" s="153">
        <f>C5*0.08</f>
        <v>40000</v>
      </c>
      <c r="E21" s="155"/>
      <c r="G21" s="170" t="s">
        <v>82</v>
      </c>
      <c r="H21" s="178">
        <f>ROUND(10810.68*C8,0)</f>
        <v>270267</v>
      </c>
      <c r="I21" s="175" t="s">
        <v>80</v>
      </c>
      <c r="J21" s="179">
        <f>J20+H21</f>
        <v>1104067</v>
      </c>
      <c r="K21" s="180"/>
      <c r="O21" s="81"/>
      <c r="P21" s="166"/>
      <c r="Q21" s="181"/>
    </row>
    <row r="22" spans="2:11" ht="12.75">
      <c r="B22" s="1" t="s">
        <v>84</v>
      </c>
      <c r="C22" s="153">
        <f>ROUND(6934.5*C8,0)</f>
        <v>173363</v>
      </c>
      <c r="E22" s="155"/>
      <c r="G22" s="170" t="s">
        <v>82</v>
      </c>
      <c r="H22" s="178">
        <f>ROUND(22570.68*C8,0)</f>
        <v>564267</v>
      </c>
      <c r="I22" s="175" t="s">
        <v>80</v>
      </c>
      <c r="J22" s="179">
        <f>J21+H22</f>
        <v>1668334</v>
      </c>
      <c r="K22" s="180"/>
    </row>
    <row r="23" spans="2:11" ht="12.75">
      <c r="B23" s="1" t="s">
        <v>85</v>
      </c>
      <c r="C23" s="155"/>
      <c r="E23" s="155"/>
      <c r="G23" s="170" t="s">
        <v>82</v>
      </c>
      <c r="H23" s="178">
        <f>ROUND(16671.7*C8,0)</f>
        <v>416793</v>
      </c>
      <c r="I23" s="175" t="s">
        <v>80</v>
      </c>
      <c r="J23" s="179">
        <f>J22+H23</f>
        <v>2085127</v>
      </c>
      <c r="K23" s="182"/>
    </row>
    <row r="24" spans="2:12" ht="12.75">
      <c r="B24" s="1" t="s">
        <v>86</v>
      </c>
      <c r="C24" s="183">
        <v>476766</v>
      </c>
      <c r="E24" s="184"/>
      <c r="G24" s="145"/>
      <c r="H24" s="178"/>
      <c r="K24" s="1" t="s">
        <v>10</v>
      </c>
      <c r="L24" s="1" t="s">
        <v>87</v>
      </c>
    </row>
    <row r="25" spans="1:12" ht="12.75">
      <c r="A25" s="142">
        <v>381443</v>
      </c>
      <c r="B25" s="79" t="s">
        <v>205</v>
      </c>
      <c r="C25" s="153">
        <f>ROUND(19224.8*C8,0)</f>
        <v>480620</v>
      </c>
      <c r="D25" s="142">
        <v>38144</v>
      </c>
      <c r="E25" s="185">
        <v>38144</v>
      </c>
      <c r="F25" s="142">
        <v>22889</v>
      </c>
      <c r="G25" s="170" t="s">
        <v>88</v>
      </c>
      <c r="I25" s="175" t="s">
        <v>89</v>
      </c>
      <c r="J25" s="186">
        <f>125000*C8</f>
        <v>3125000</v>
      </c>
      <c r="K25" s="1">
        <v>2</v>
      </c>
      <c r="L25" s="186">
        <f>J25*K25%</f>
        <v>62500</v>
      </c>
    </row>
    <row r="26" spans="3:12" ht="12.75">
      <c r="C26" s="155"/>
      <c r="E26" s="155"/>
      <c r="G26" s="145"/>
      <c r="I26" s="175" t="s">
        <v>80</v>
      </c>
      <c r="J26" s="186">
        <f>500000*C8</f>
        <v>12500000</v>
      </c>
      <c r="K26" s="1">
        <v>1.5</v>
      </c>
      <c r="L26" s="186">
        <f>ROUNDDOWN((J26-J25)*K26%+L25,0)</f>
        <v>203125</v>
      </c>
    </row>
    <row r="27" spans="2:12" ht="12.75">
      <c r="B27" s="1" t="s">
        <v>90</v>
      </c>
      <c r="C27" s="187"/>
      <c r="E27" s="155"/>
      <c r="G27" s="145"/>
      <c r="I27" s="175" t="s">
        <v>80</v>
      </c>
      <c r="J27" s="186">
        <f>1000000*C8</f>
        <v>25000000</v>
      </c>
      <c r="K27" s="1">
        <v>1</v>
      </c>
      <c r="L27" s="186">
        <f>(J27-J26)*K27%+L26</f>
        <v>328125</v>
      </c>
    </row>
    <row r="28" spans="7:12" ht="12.75">
      <c r="G28" s="145"/>
      <c r="I28" s="175" t="s">
        <v>80</v>
      </c>
      <c r="J28" s="186">
        <f>2000000*C8</f>
        <v>50000000</v>
      </c>
      <c r="K28" s="1">
        <v>0.6</v>
      </c>
      <c r="L28" s="186">
        <f>(J28-J27)*K28%+L27</f>
        <v>478125</v>
      </c>
    </row>
    <row r="29" spans="7:12" ht="12.75">
      <c r="G29" s="145"/>
      <c r="I29" s="175" t="s">
        <v>80</v>
      </c>
      <c r="J29" s="186">
        <f>4000000*C8</f>
        <v>100000000</v>
      </c>
      <c r="K29" s="1">
        <v>0.4</v>
      </c>
      <c r="L29" s="186">
        <f>(J29-J28)*K29%+L28</f>
        <v>678125</v>
      </c>
    </row>
    <row r="30" spans="7:12" ht="12.75">
      <c r="G30" s="145"/>
      <c r="I30" s="175" t="s">
        <v>80</v>
      </c>
      <c r="J30" s="186">
        <f>7500000*C8</f>
        <v>187500000</v>
      </c>
      <c r="K30" s="1">
        <v>0.2</v>
      </c>
      <c r="L30" s="186">
        <f>(J30-J29)*K30%+L29</f>
        <v>853125</v>
      </c>
    </row>
    <row r="31" spans="2:11" ht="12.75">
      <c r="B31" s="1" t="s">
        <v>91</v>
      </c>
      <c r="G31" s="145"/>
      <c r="I31" s="1" t="s">
        <v>8</v>
      </c>
      <c r="K31" s="1">
        <v>0.1</v>
      </c>
    </row>
    <row r="32" spans="2:10" ht="12.75" customHeight="1">
      <c r="B32" s="1" t="s">
        <v>8</v>
      </c>
      <c r="G32" s="170" t="s">
        <v>92</v>
      </c>
      <c r="I32" s="188">
        <f>37310*(C8/0.36)</f>
        <v>2590972.222222222</v>
      </c>
      <c r="J32" s="252"/>
    </row>
    <row r="33" spans="2:10" ht="12.75">
      <c r="B33" s="186">
        <f>200000*C8</f>
        <v>5000000</v>
      </c>
      <c r="I33" s="188">
        <f>55972*(C8/0.36)</f>
        <v>3886944.4444444445</v>
      </c>
      <c r="J33" s="253"/>
    </row>
    <row r="34" spans="2:10" ht="12.75">
      <c r="B34" s="186">
        <f>(1000000-200000)*C8</f>
        <v>20000000</v>
      </c>
      <c r="I34" s="188">
        <f>93286*(C8/0.36)</f>
        <v>6478194.444444444</v>
      </c>
      <c r="J34" s="253"/>
    </row>
    <row r="35" spans="2:10" ht="12.75">
      <c r="B35" s="186">
        <f>(2000000-1000000)*C8</f>
        <v>25000000</v>
      </c>
      <c r="I35" s="188">
        <f>186580*(C8/0.36)</f>
        <v>12956944.444444444</v>
      </c>
      <c r="J35" s="253"/>
    </row>
    <row r="36" spans="2:10" ht="12.75">
      <c r="B36" s="186">
        <f>(5000000-2000000)*C8</f>
        <v>75000000</v>
      </c>
      <c r="I36" s="188">
        <f>558090*(C8/0.36)</f>
        <v>38756250</v>
      </c>
      <c r="J36" s="253"/>
    </row>
    <row r="37" spans="9:10" ht="12.75">
      <c r="I37" s="188">
        <f>931215*(C8/0.36)</f>
        <v>64667708.33333333</v>
      </c>
      <c r="J37" s="253"/>
    </row>
    <row r="38" spans="2:10" ht="12.75">
      <c r="B38" s="1" t="s">
        <v>93</v>
      </c>
      <c r="I38" s="188">
        <f>1868989*(C8/0.36)</f>
        <v>129790902.77777778</v>
      </c>
      <c r="J38" s="253"/>
    </row>
    <row r="39" spans="2:10" ht="12.75">
      <c r="B39" s="1" t="s">
        <v>8</v>
      </c>
      <c r="I39" s="188">
        <f>3718378*(C8/0.36)</f>
        <v>258220694.44444445</v>
      </c>
      <c r="J39" s="253"/>
    </row>
    <row r="40" spans="2:10" ht="12.75">
      <c r="B40" s="186">
        <f>200000*C8</f>
        <v>5000000</v>
      </c>
      <c r="I40" s="188">
        <f>7449822*(C8/0.36)</f>
        <v>517348750</v>
      </c>
      <c r="J40" s="253"/>
    </row>
    <row r="41" spans="2:10" ht="12.75">
      <c r="B41" s="186">
        <f>(1000000-200000)*C8</f>
        <v>20000000</v>
      </c>
      <c r="I41" s="188">
        <f>14899636*(C8/0.36)</f>
        <v>1034696944.4444444</v>
      </c>
      <c r="J41" s="253"/>
    </row>
    <row r="42" spans="2:10" ht="12.75">
      <c r="B42" s="186">
        <f>(2000000-1000000)*C8</f>
        <v>25000000</v>
      </c>
      <c r="I42" s="188">
        <f>29799278*(C8/0.36)</f>
        <v>2069394305.5555556</v>
      </c>
      <c r="J42" s="253"/>
    </row>
    <row r="43" spans="2:10" ht="12.75">
      <c r="B43" s="186">
        <f>(5000000-2000000)*C8</f>
        <v>75000000</v>
      </c>
      <c r="I43" s="188">
        <f>59598560*(C8/0.36)</f>
        <v>4138788888.888889</v>
      </c>
      <c r="J43" s="253"/>
    </row>
    <row r="44" spans="6:10" ht="12.75">
      <c r="F44" s="255" t="s">
        <v>94</v>
      </c>
      <c r="G44" s="256"/>
      <c r="I44" s="188">
        <f>119197121*(C8/0.36)</f>
        <v>8277577847.222222</v>
      </c>
      <c r="J44" s="253"/>
    </row>
    <row r="45" spans="6:10" ht="12.75">
      <c r="F45" s="257"/>
      <c r="G45" s="258"/>
      <c r="I45" s="188">
        <f>238394228*(C8/0.36)</f>
        <v>16555154722.222221</v>
      </c>
      <c r="J45" s="253"/>
    </row>
    <row r="46" spans="2:10" ht="12.75">
      <c r="B46" s="79" t="s">
        <v>95</v>
      </c>
      <c r="C46" s="189">
        <v>1</v>
      </c>
      <c r="F46" s="190">
        <f>C48</f>
        <v>203958</v>
      </c>
      <c r="G46" s="191">
        <f>F46</f>
        <v>203958</v>
      </c>
      <c r="I46" s="188">
        <f>476788468*(C8/0.36)</f>
        <v>33110310277.77778</v>
      </c>
      <c r="J46" s="254"/>
    </row>
    <row r="47" spans="2:7" ht="12.75">
      <c r="B47" s="79" t="s">
        <v>96</v>
      </c>
      <c r="C47" s="155">
        <f>ROUND(6540*C8,0)</f>
        <v>163500</v>
      </c>
      <c r="D47" s="259"/>
      <c r="F47" s="192">
        <f>(C51*E51%)/10</f>
        <v>24700.000000000004</v>
      </c>
      <c r="G47" s="193">
        <f>G46+F47</f>
        <v>228658</v>
      </c>
    </row>
    <row r="48" spans="2:7" ht="12.75">
      <c r="B48" s="79" t="s">
        <v>97</v>
      </c>
      <c r="C48" s="155">
        <f>ROUND(8158.3*C8,0)</f>
        <v>203958</v>
      </c>
      <c r="D48" s="260"/>
      <c r="F48" s="194">
        <f>(C52*E52%)/10</f>
        <v>48000</v>
      </c>
      <c r="G48" s="195">
        <f>G47+F48</f>
        <v>276658</v>
      </c>
    </row>
    <row r="49" ht="12.75">
      <c r="E49" s="77" t="s">
        <v>98</v>
      </c>
    </row>
    <row r="50" spans="2:10" ht="12.75">
      <c r="B50" s="261" t="s">
        <v>99</v>
      </c>
      <c r="C50" s="196">
        <v>1000000</v>
      </c>
      <c r="D50" s="197">
        <f>C50</f>
        <v>1000000</v>
      </c>
      <c r="E50" s="198"/>
      <c r="F50" s="197">
        <f>C47</f>
        <v>163500</v>
      </c>
      <c r="G50" s="199">
        <f>F50</f>
        <v>163500</v>
      </c>
      <c r="I50" s="79" t="s">
        <v>100</v>
      </c>
      <c r="J50" s="188">
        <f>ROUND(7500*C8,0)</f>
        <v>187500</v>
      </c>
    </row>
    <row r="51" spans="2:10" ht="12.75">
      <c r="B51" s="150"/>
      <c r="C51" s="192">
        <f>D51-D50</f>
        <v>19000000</v>
      </c>
      <c r="D51" s="200">
        <v>20000000</v>
      </c>
      <c r="E51" s="81">
        <v>1.3</v>
      </c>
      <c r="F51" s="201">
        <f>(C51*E51%)/10</f>
        <v>24700.000000000004</v>
      </c>
      <c r="G51" s="202">
        <f>G50+F51</f>
        <v>188200</v>
      </c>
      <c r="J51" s="188">
        <f>ROUND(12500*C8,0)</f>
        <v>312500</v>
      </c>
    </row>
    <row r="52" spans="2:10" ht="12.75">
      <c r="B52" s="257"/>
      <c r="C52" s="192">
        <f>D52-D51</f>
        <v>80000000</v>
      </c>
      <c r="D52" s="200">
        <v>100000000</v>
      </c>
      <c r="E52" s="81">
        <v>0.6</v>
      </c>
      <c r="F52" s="201">
        <f>(C52*E52%)/10</f>
        <v>48000</v>
      </c>
      <c r="G52" s="202">
        <f>G51+F52</f>
        <v>236200</v>
      </c>
      <c r="J52" s="188">
        <f>ROUND(18750*C8,0)</f>
        <v>468750</v>
      </c>
    </row>
    <row r="53" spans="3:7" ht="12.75">
      <c r="C53" s="203"/>
      <c r="D53" s="172"/>
      <c r="E53" s="204">
        <v>0.3</v>
      </c>
      <c r="F53" s="172"/>
      <c r="G53" s="205"/>
    </row>
    <row r="54" spans="5:13" ht="12.75">
      <c r="E54" s="80" t="s">
        <v>10</v>
      </c>
      <c r="L54" s="79"/>
      <c r="M54" s="79"/>
    </row>
    <row r="55" spans="2:13" ht="12.75">
      <c r="B55" s="244" t="s">
        <v>101</v>
      </c>
      <c r="C55" s="200">
        <v>120000</v>
      </c>
      <c r="D55" s="201">
        <f>C55</f>
        <v>120000</v>
      </c>
      <c r="E55" s="81"/>
      <c r="F55" s="201">
        <f>F50</f>
        <v>163500</v>
      </c>
      <c r="G55" s="201">
        <f>F55</f>
        <v>163500</v>
      </c>
      <c r="I55" s="79" t="s">
        <v>102</v>
      </c>
      <c r="L55" s="79"/>
      <c r="M55" s="79"/>
    </row>
    <row r="56" spans="2:14" ht="25.5">
      <c r="B56" s="245"/>
      <c r="C56" s="201">
        <f>D56-D55</f>
        <v>380000</v>
      </c>
      <c r="D56" s="200">
        <v>500000</v>
      </c>
      <c r="E56" s="81">
        <v>0.5</v>
      </c>
      <c r="F56" s="201">
        <f>C56*E56%</f>
        <v>1900</v>
      </c>
      <c r="G56" s="201">
        <f>G55+F56</f>
        <v>165400</v>
      </c>
      <c r="I56" s="79" t="s">
        <v>103</v>
      </c>
      <c r="J56" s="82" t="s">
        <v>104</v>
      </c>
      <c r="K56" s="83" t="s">
        <v>105</v>
      </c>
      <c r="L56" s="83"/>
      <c r="M56" s="83"/>
      <c r="N56" s="79"/>
    </row>
    <row r="57" spans="2:12" ht="14.25">
      <c r="B57" s="245"/>
      <c r="C57" s="201">
        <f>D57-D56</f>
        <v>500000</v>
      </c>
      <c r="D57" s="200">
        <v>1000000</v>
      </c>
      <c r="E57" s="81">
        <v>0.4</v>
      </c>
      <c r="F57" s="201">
        <f>C57*E57%</f>
        <v>2000</v>
      </c>
      <c r="G57" s="201">
        <f>G56+F57</f>
        <v>167400</v>
      </c>
      <c r="J57" s="79" t="s">
        <v>106</v>
      </c>
      <c r="K57" s="206">
        <v>12000</v>
      </c>
      <c r="L57" s="207">
        <f>477.647058823529*C8</f>
        <v>11941.176470588225</v>
      </c>
    </row>
    <row r="58" spans="2:18" ht="14.25">
      <c r="B58" s="245"/>
      <c r="C58" s="201">
        <f>D58-D57</f>
        <v>1000000</v>
      </c>
      <c r="D58" s="200">
        <v>2000000</v>
      </c>
      <c r="E58" s="81">
        <v>0.3</v>
      </c>
      <c r="F58" s="201">
        <f>C58*E58%</f>
        <v>3000</v>
      </c>
      <c r="G58" s="201">
        <f>G57+F58</f>
        <v>170400</v>
      </c>
      <c r="I58" s="1">
        <v>176</v>
      </c>
      <c r="J58" s="79" t="s">
        <v>107</v>
      </c>
      <c r="K58" s="206">
        <f>ROUNDDOWN((88235.2941176471*C8),0)</f>
        <v>2205882</v>
      </c>
      <c r="L58" s="207">
        <f>88235.2941176471*C8</f>
        <v>2205882.352941178</v>
      </c>
      <c r="M58" s="208"/>
      <c r="N58" s="79"/>
      <c r="P58" s="208"/>
      <c r="R58" s="208"/>
    </row>
    <row r="59" spans="2:18" ht="14.25">
      <c r="B59" s="246"/>
      <c r="C59" s="201">
        <f>D59-D58</f>
        <v>2000000</v>
      </c>
      <c r="D59" s="200">
        <v>4000000</v>
      </c>
      <c r="E59" s="81">
        <v>0.2</v>
      </c>
      <c r="F59" s="201">
        <f>C59*E59%</f>
        <v>4000</v>
      </c>
      <c r="G59" s="201">
        <f>G58+F59</f>
        <v>174400</v>
      </c>
      <c r="I59" s="1">
        <v>176</v>
      </c>
      <c r="J59" s="79" t="s">
        <v>108</v>
      </c>
      <c r="K59" s="206">
        <f>ROUNDDOWN((102941.176470588*C8),0)</f>
        <v>2573529</v>
      </c>
      <c r="L59" s="207">
        <f>102941.176470588*C8</f>
        <v>2573529.4117647</v>
      </c>
      <c r="M59" s="208"/>
      <c r="N59" s="79"/>
      <c r="P59" s="208"/>
      <c r="R59" s="208"/>
    </row>
    <row r="60" spans="2:18" ht="14.25">
      <c r="B60" s="209"/>
      <c r="C60" s="201"/>
      <c r="D60" s="201"/>
      <c r="E60" s="81">
        <v>0.1</v>
      </c>
      <c r="F60" s="201"/>
      <c r="G60" s="201"/>
      <c r="I60" s="1">
        <v>176</v>
      </c>
      <c r="J60" s="79" t="s">
        <v>109</v>
      </c>
      <c r="K60" s="206">
        <f>ROUNDUP((117647.058823529*C8),0)</f>
        <v>2941177</v>
      </c>
      <c r="L60" s="207">
        <f>117647.058823529*C8</f>
        <v>2941176.470588225</v>
      </c>
      <c r="M60" s="208"/>
      <c r="N60" s="79"/>
      <c r="P60" s="208"/>
      <c r="R60" s="208"/>
    </row>
    <row r="61" spans="2:18" ht="14.25">
      <c r="B61" s="210" t="s">
        <v>110</v>
      </c>
      <c r="E61" s="210" t="s">
        <v>111</v>
      </c>
      <c r="F61" s="155"/>
      <c r="I61" s="1">
        <v>176</v>
      </c>
      <c r="J61" s="79" t="s">
        <v>112</v>
      </c>
      <c r="K61" s="206">
        <f>ROUNDUP((147058.823529412*C8),0)</f>
        <v>3676471</v>
      </c>
      <c r="L61" s="207">
        <f>147058.823529412*C8</f>
        <v>3676470.5882353</v>
      </c>
      <c r="M61" s="208"/>
      <c r="N61" s="79"/>
      <c r="P61" s="208"/>
      <c r="R61" s="208"/>
    </row>
    <row r="62" spans="2:18" ht="14.25">
      <c r="B62" s="211" t="s">
        <v>113</v>
      </c>
      <c r="C62" s="155">
        <f>C47</f>
        <v>163500</v>
      </c>
      <c r="E62" s="211" t="s">
        <v>113</v>
      </c>
      <c r="F62" s="155">
        <f>C48</f>
        <v>203958</v>
      </c>
      <c r="I62" s="1">
        <v>176</v>
      </c>
      <c r="J62" s="79" t="s">
        <v>114</v>
      </c>
      <c r="K62" s="206">
        <f>ROUNDUP((161764.705882353*C8),0)</f>
        <v>4044118</v>
      </c>
      <c r="L62" s="207">
        <f>161764.705882353*C8</f>
        <v>4044117.647058825</v>
      </c>
      <c r="M62" s="208"/>
      <c r="N62" s="79"/>
      <c r="P62" s="208"/>
      <c r="R62" s="208"/>
    </row>
    <row r="63" spans="2:18" ht="14.25">
      <c r="B63" s="211" t="s">
        <v>206</v>
      </c>
      <c r="C63" s="155">
        <f>ROUND(C62*1.5,0)</f>
        <v>245250</v>
      </c>
      <c r="E63" s="211" t="s">
        <v>206</v>
      </c>
      <c r="F63" s="155">
        <f>ROUND(F62*1.5,0)</f>
        <v>305937</v>
      </c>
      <c r="I63" s="1">
        <v>176</v>
      </c>
      <c r="J63" s="79" t="s">
        <v>115</v>
      </c>
      <c r="K63" s="206">
        <f>ROUNDUP((176470.588235294*C8),0)</f>
        <v>4411765</v>
      </c>
      <c r="L63" s="207">
        <f>176470.588235294*C8</f>
        <v>4411764.70588235</v>
      </c>
      <c r="M63" s="208"/>
      <c r="N63" s="79"/>
      <c r="P63" s="208"/>
      <c r="R63" s="208"/>
    </row>
    <row r="64" spans="2:18" ht="14.25">
      <c r="B64" s="211" t="s">
        <v>207</v>
      </c>
      <c r="C64" s="155">
        <f>ROUND(C63*1.2,0)</f>
        <v>294300</v>
      </c>
      <c r="E64" s="211" t="s">
        <v>207</v>
      </c>
      <c r="F64" s="155">
        <f>ROUND(F63*1.2,0)+1</f>
        <v>367125</v>
      </c>
      <c r="I64" s="1">
        <v>176</v>
      </c>
      <c r="J64" s="79" t="s">
        <v>116</v>
      </c>
      <c r="K64" s="206">
        <f>ROUNDUP((191176.470588235*C8),0)</f>
        <v>4779412</v>
      </c>
      <c r="L64" s="207">
        <f>191176.470588235*C8</f>
        <v>4779411.764705875</v>
      </c>
      <c r="M64" s="208"/>
      <c r="N64" s="79"/>
      <c r="P64" s="208"/>
      <c r="R64" s="208"/>
    </row>
    <row r="65" spans="2:18" ht="14.25">
      <c r="B65" s="211" t="s">
        <v>208</v>
      </c>
      <c r="C65" s="155">
        <f>ROUND(C64*1.2,0)</f>
        <v>353160</v>
      </c>
      <c r="E65" s="211" t="s">
        <v>208</v>
      </c>
      <c r="F65" s="155">
        <f>ROUND(F64*1.2,0)</f>
        <v>440550</v>
      </c>
      <c r="I65" s="1">
        <v>176</v>
      </c>
      <c r="J65" s="79" t="s">
        <v>117</v>
      </c>
      <c r="K65" s="206">
        <f>ROUNDUP((205882.352941176*C8),0)</f>
        <v>5147059</v>
      </c>
      <c r="L65" s="207">
        <f>205882.352941176*C8</f>
        <v>5147058.8235294</v>
      </c>
      <c r="M65" s="208"/>
      <c r="N65" s="79"/>
      <c r="P65" s="208"/>
      <c r="R65" s="208"/>
    </row>
    <row r="66" spans="2:18" ht="14.25">
      <c r="B66" s="211" t="s">
        <v>209</v>
      </c>
      <c r="C66" s="155">
        <f>ROUND(C65*1.2,0)</f>
        <v>423792</v>
      </c>
      <c r="E66" s="211" t="s">
        <v>209</v>
      </c>
      <c r="F66" s="155">
        <f>ROUND(F65*1.2,0)</f>
        <v>528660</v>
      </c>
      <c r="I66" s="1">
        <v>176</v>
      </c>
      <c r="J66" s="79" t="s">
        <v>118</v>
      </c>
      <c r="K66" s="206">
        <f>ROUNDUP((220588.235294118*C8),0)</f>
        <v>5514706</v>
      </c>
      <c r="L66" s="207">
        <f>220588.235294118*C8</f>
        <v>5514705.88235295</v>
      </c>
      <c r="M66" s="208"/>
      <c r="N66" s="79"/>
      <c r="P66" s="208"/>
      <c r="R66" s="208"/>
    </row>
    <row r="67" spans="2:18" ht="14.25">
      <c r="B67" s="211" t="s">
        <v>210</v>
      </c>
      <c r="C67" s="155">
        <f>ROUND(C66*1.15,0)</f>
        <v>487361</v>
      </c>
      <c r="E67" s="211" t="s">
        <v>210</v>
      </c>
      <c r="F67" s="155">
        <f>ROUND(F66*1.15,0)</f>
        <v>607959</v>
      </c>
      <c r="I67" s="1">
        <v>176</v>
      </c>
      <c r="J67" s="79" t="s">
        <v>119</v>
      </c>
      <c r="K67" s="206">
        <f>ROUNDUP((235294.117647059*C8),0)</f>
        <v>5882353</v>
      </c>
      <c r="L67" s="207">
        <f>235294.117647059*C8</f>
        <v>5882352.941176475</v>
      </c>
      <c r="M67" s="208"/>
      <c r="N67" s="79"/>
      <c r="P67" s="208"/>
      <c r="R67" s="208"/>
    </row>
    <row r="68" spans="2:18" ht="14.25">
      <c r="B68" s="211" t="s">
        <v>211</v>
      </c>
      <c r="C68" s="155">
        <f>ROUND(C67*1.1,0)</f>
        <v>536097</v>
      </c>
      <c r="E68" s="211" t="s">
        <v>211</v>
      </c>
      <c r="F68" s="155">
        <f>ROUND(F67*1.1,0)</f>
        <v>668755</v>
      </c>
      <c r="I68" s="1">
        <v>176</v>
      </c>
      <c r="J68" s="79" t="s">
        <v>120</v>
      </c>
      <c r="K68" s="206">
        <f>ROUNDUP((247058.823529412*C8),0)</f>
        <v>6176471</v>
      </c>
      <c r="L68" s="207">
        <f>247058.823529412*C8</f>
        <v>6176470.5882353</v>
      </c>
      <c r="M68" s="208"/>
      <c r="N68" s="79"/>
      <c r="P68" s="208"/>
      <c r="R68" s="208"/>
    </row>
    <row r="69" spans="2:18" ht="14.25">
      <c r="B69" s="211" t="s">
        <v>212</v>
      </c>
      <c r="C69" s="155">
        <f>ROUND(C68*1.05,0)</f>
        <v>562902</v>
      </c>
      <c r="E69" s="211" t="s">
        <v>212</v>
      </c>
      <c r="F69" s="155">
        <f>ROUND(F68*1.05,0)-1</f>
        <v>702192</v>
      </c>
      <c r="I69" s="1">
        <v>176</v>
      </c>
      <c r="J69" s="79" t="s">
        <v>121</v>
      </c>
      <c r="K69" s="206">
        <f>ROUNDDOWN((258823.529411765*C8),0)</f>
        <v>6470588</v>
      </c>
      <c r="L69" s="207">
        <f>258823.529411765*C8</f>
        <v>6470588.235294125</v>
      </c>
      <c r="M69" s="208"/>
      <c r="N69" s="79"/>
      <c r="P69" s="208"/>
      <c r="R69" s="208"/>
    </row>
    <row r="70" spans="2:18" ht="14.25">
      <c r="B70" s="211" t="s">
        <v>213</v>
      </c>
      <c r="C70" s="155">
        <f>ROUND(C69*1.05,0)</f>
        <v>591047</v>
      </c>
      <c r="E70" s="211" t="s">
        <v>213</v>
      </c>
      <c r="F70" s="155">
        <f>ROUND(F69*1.05,0)</f>
        <v>737302</v>
      </c>
      <c r="I70" s="1">
        <v>176</v>
      </c>
      <c r="J70" s="79" t="s">
        <v>122</v>
      </c>
      <c r="K70" s="206">
        <f>ROUNDDOWN((294117.647058824*C8),0)</f>
        <v>7352941</v>
      </c>
      <c r="L70" s="207">
        <f>294117.647058824*C8</f>
        <v>7352941.1764706</v>
      </c>
      <c r="M70" s="208"/>
      <c r="N70" s="79"/>
      <c r="P70" s="208"/>
      <c r="R70" s="208"/>
    </row>
    <row r="71" spans="2:6" ht="12.75">
      <c r="B71" s="211" t="s">
        <v>123</v>
      </c>
      <c r="C71" s="155">
        <f>ROUND(C70*1.05,0)</f>
        <v>620599</v>
      </c>
      <c r="E71" s="211" t="s">
        <v>123</v>
      </c>
      <c r="F71" s="155">
        <f>ROUND(F70*1.05,0)</f>
        <v>774167</v>
      </c>
    </row>
    <row r="72" ht="12.75">
      <c r="I72" s="79" t="s">
        <v>124</v>
      </c>
    </row>
    <row r="73" spans="10:18" ht="25.5">
      <c r="J73" s="79" t="s">
        <v>104</v>
      </c>
      <c r="L73" s="83" t="s">
        <v>105</v>
      </c>
      <c r="R73" s="84" t="s">
        <v>125</v>
      </c>
    </row>
    <row r="74" spans="2:19" ht="14.25">
      <c r="B74" s="85" t="s">
        <v>126</v>
      </c>
      <c r="J74" s="79" t="s">
        <v>127</v>
      </c>
      <c r="K74" s="1">
        <v>13.5</v>
      </c>
      <c r="L74" s="212">
        <f aca="true" t="shared" si="0" ref="L74:L79">477.647058823529*$C$8</f>
        <v>11941.176470588225</v>
      </c>
      <c r="M74" s="213">
        <v>12000</v>
      </c>
      <c r="N74" s="178">
        <f>K74*M74</f>
        <v>162000</v>
      </c>
      <c r="O74" s="80">
        <v>1</v>
      </c>
      <c r="P74" s="214">
        <v>1</v>
      </c>
      <c r="Q74" s="215">
        <v>15</v>
      </c>
      <c r="R74" s="216">
        <f>ROUNDDOWN(N74*80%,0)</f>
        <v>129600</v>
      </c>
      <c r="S74" s="178">
        <f>N74*80%</f>
        <v>129600</v>
      </c>
    </row>
    <row r="75" spans="2:19" ht="14.25">
      <c r="B75" s="1" t="s">
        <v>128</v>
      </c>
      <c r="C75" s="86">
        <f>2.5*C6</f>
        <v>312500</v>
      </c>
      <c r="J75" s="79" t="s">
        <v>129</v>
      </c>
      <c r="K75" s="1">
        <v>22.5</v>
      </c>
      <c r="L75" s="212">
        <f t="shared" si="0"/>
        <v>11941.176470588225</v>
      </c>
      <c r="M75" s="213">
        <v>12000</v>
      </c>
      <c r="N75" s="178">
        <f>K75*M75</f>
        <v>270000</v>
      </c>
      <c r="O75" s="80">
        <v>1</v>
      </c>
      <c r="P75" s="217">
        <v>16</v>
      </c>
      <c r="Q75" s="218">
        <v>50</v>
      </c>
      <c r="R75" s="216">
        <f>ROUNDUP(N75*78%,0)</f>
        <v>210600</v>
      </c>
      <c r="S75" s="178">
        <f>N75*78%</f>
        <v>210600</v>
      </c>
    </row>
    <row r="76" spans="2:19" ht="14.25">
      <c r="B76" s="1" t="s">
        <v>130</v>
      </c>
      <c r="J76" s="79" t="s">
        <v>131</v>
      </c>
      <c r="K76" s="1">
        <v>45</v>
      </c>
      <c r="L76" s="212">
        <f t="shared" si="0"/>
        <v>11941.176470588225</v>
      </c>
      <c r="M76" s="213">
        <v>12000</v>
      </c>
      <c r="N76" s="178">
        <f aca="true" t="shared" si="1" ref="N76:N90">K76*M76</f>
        <v>540000</v>
      </c>
      <c r="O76" s="80">
        <v>1</v>
      </c>
      <c r="P76" s="217">
        <v>51</v>
      </c>
      <c r="Q76" s="218">
        <v>100</v>
      </c>
      <c r="R76" s="216">
        <f>ROUNDUP(N76*76%,0)</f>
        <v>410400</v>
      </c>
      <c r="S76" s="178">
        <f>N76*76%</f>
        <v>410400</v>
      </c>
    </row>
    <row r="77" spans="2:19" ht="14.25">
      <c r="B77" s="1" t="s">
        <v>132</v>
      </c>
      <c r="D77" s="1" t="s">
        <v>8</v>
      </c>
      <c r="E77" s="1" t="s">
        <v>9</v>
      </c>
      <c r="J77" s="79" t="s">
        <v>133</v>
      </c>
      <c r="K77" s="1">
        <v>67.5</v>
      </c>
      <c r="L77" s="212">
        <f t="shared" si="0"/>
        <v>11941.176470588225</v>
      </c>
      <c r="M77" s="213">
        <v>12000</v>
      </c>
      <c r="N77" s="178">
        <f t="shared" si="1"/>
        <v>810000</v>
      </c>
      <c r="O77" s="80">
        <v>1</v>
      </c>
      <c r="P77" s="217">
        <v>101</v>
      </c>
      <c r="Q77" s="218">
        <v>150</v>
      </c>
      <c r="R77" s="216">
        <f>ROUNDUP(N77*74%,0)</f>
        <v>599400</v>
      </c>
      <c r="S77" s="178">
        <f>N77*74%</f>
        <v>599400</v>
      </c>
    </row>
    <row r="78" spans="2:19" ht="14.25">
      <c r="B78" s="87">
        <f>1000000*C8</f>
        <v>25000000</v>
      </c>
      <c r="C78" s="1">
        <v>1.4</v>
      </c>
      <c r="D78" s="87">
        <f>B78*C78%</f>
        <v>349999.99999999994</v>
      </c>
      <c r="E78" s="87">
        <f>D78</f>
        <v>349999.99999999994</v>
      </c>
      <c r="J78" s="79" t="s">
        <v>134</v>
      </c>
      <c r="K78" s="1">
        <v>135</v>
      </c>
      <c r="L78" s="212">
        <f t="shared" si="0"/>
        <v>11941.176470588225</v>
      </c>
      <c r="M78" s="213">
        <v>12000</v>
      </c>
      <c r="N78" s="178">
        <f t="shared" si="1"/>
        <v>1620000</v>
      </c>
      <c r="O78" s="80">
        <v>1</v>
      </c>
      <c r="P78" s="219">
        <v>151</v>
      </c>
      <c r="Q78" s="220">
        <v>200</v>
      </c>
      <c r="R78" s="216">
        <f>ROUNDUP(N78*72%,0)</f>
        <v>1166400</v>
      </c>
      <c r="S78" s="178">
        <f>N78*72%</f>
        <v>1166400</v>
      </c>
    </row>
    <row r="79" spans="2:19" ht="14.25">
      <c r="B79" s="87">
        <f>5000000*C8</f>
        <v>125000000</v>
      </c>
      <c r="C79" s="1">
        <v>1.3</v>
      </c>
      <c r="D79" s="87">
        <f>(B79-B78)*C79%</f>
        <v>1300000</v>
      </c>
      <c r="E79" s="87">
        <f>E78+D79</f>
        <v>1650000</v>
      </c>
      <c r="J79" s="79" t="s">
        <v>135</v>
      </c>
      <c r="K79" s="1">
        <v>176</v>
      </c>
      <c r="L79" s="212">
        <f t="shared" si="0"/>
        <v>11941.176470588225</v>
      </c>
      <c r="M79" s="213">
        <v>12000</v>
      </c>
      <c r="N79" s="178">
        <f t="shared" si="1"/>
        <v>2112000</v>
      </c>
      <c r="O79" s="80">
        <v>1</v>
      </c>
      <c r="P79" s="221">
        <v>201</v>
      </c>
      <c r="Q79" s="222">
        <v>300</v>
      </c>
      <c r="R79" s="216">
        <f>ROUNDUP(N79*70%,0)</f>
        <v>1478400</v>
      </c>
      <c r="S79" s="178">
        <f>N79*70%</f>
        <v>1478400</v>
      </c>
    </row>
    <row r="80" spans="2:19" ht="14.25">
      <c r="B80" s="87">
        <f>10000000*C8</f>
        <v>250000000</v>
      </c>
      <c r="C80" s="1">
        <v>1.2</v>
      </c>
      <c r="D80" s="87">
        <f>(B80-B79)*C80%</f>
        <v>1500000</v>
      </c>
      <c r="E80" s="87">
        <f>E79+D80</f>
        <v>3150000</v>
      </c>
      <c r="J80" s="79" t="s">
        <v>136</v>
      </c>
      <c r="K80" s="1">
        <v>192</v>
      </c>
      <c r="L80" s="223">
        <f>581.851345189239*$C$8</f>
        <v>14546.283629730977</v>
      </c>
      <c r="M80" s="213">
        <v>14550</v>
      </c>
      <c r="N80" s="178">
        <f t="shared" si="1"/>
        <v>2793600</v>
      </c>
      <c r="O80" s="224">
        <f>Q80/P80</f>
        <v>1.3289036544850499</v>
      </c>
      <c r="P80" s="225">
        <v>301</v>
      </c>
      <c r="Q80" s="226">
        <v>400</v>
      </c>
      <c r="R80" s="216">
        <f>ROUNDUP(N80*68%,0)</f>
        <v>1899648</v>
      </c>
      <c r="S80" s="178">
        <f>N80*68%</f>
        <v>1899648.0000000002</v>
      </c>
    </row>
    <row r="81" spans="2:19" ht="14.25">
      <c r="B81" s="87">
        <f>30000000*C8</f>
        <v>750000000</v>
      </c>
      <c r="C81" s="1">
        <v>1.1</v>
      </c>
      <c r="D81" s="87">
        <f>(B81-B80)*C81%</f>
        <v>5500000.000000001</v>
      </c>
      <c r="E81" s="87">
        <f>E80+D81</f>
        <v>8650000</v>
      </c>
      <c r="J81" s="79" t="s">
        <v>112</v>
      </c>
      <c r="K81" s="1">
        <v>192</v>
      </c>
      <c r="L81" s="223">
        <f>725.500430410522*$C$8</f>
        <v>18137.51076026305</v>
      </c>
      <c r="M81" s="213">
        <v>18140</v>
      </c>
      <c r="N81" s="178">
        <f t="shared" si="1"/>
        <v>3482880</v>
      </c>
      <c r="O81" s="227">
        <f aca="true" t="shared" si="2" ref="O81:O90">Q81/P81</f>
        <v>1.2468827930174564</v>
      </c>
      <c r="P81" s="219">
        <v>401</v>
      </c>
      <c r="Q81" s="220">
        <v>500</v>
      </c>
      <c r="R81" s="216">
        <f>ROUNDUP(N81*66%,0)</f>
        <v>2298701</v>
      </c>
      <c r="S81" s="178">
        <f>N81*66%</f>
        <v>2298700.8000000003</v>
      </c>
    </row>
    <row r="82" spans="2:19" ht="14.25">
      <c r="B82" s="87">
        <f>100000000*C8</f>
        <v>2500000000</v>
      </c>
      <c r="C82" s="1">
        <v>1</v>
      </c>
      <c r="D82" s="87">
        <f>(B82-B81)*C82%</f>
        <v>17500000</v>
      </c>
      <c r="E82" s="87">
        <f>E81+D82</f>
        <v>26150000</v>
      </c>
      <c r="J82" s="79" t="s">
        <v>137</v>
      </c>
      <c r="K82" s="1">
        <v>192</v>
      </c>
      <c r="L82" s="223">
        <f>868.862790910805*$C$8</f>
        <v>21721.569772770123</v>
      </c>
      <c r="M82" s="213">
        <v>21722</v>
      </c>
      <c r="N82" s="178">
        <f t="shared" si="1"/>
        <v>4170624</v>
      </c>
      <c r="O82" s="227">
        <f t="shared" si="2"/>
        <v>1.1976047904191616</v>
      </c>
      <c r="P82" s="219">
        <v>501</v>
      </c>
      <c r="Q82" s="220">
        <v>600</v>
      </c>
      <c r="R82" s="216">
        <f>ROUNDDOWN(N82*64%,0)</f>
        <v>2669199</v>
      </c>
      <c r="S82" s="178">
        <f>N82*64%</f>
        <v>2669199.36</v>
      </c>
    </row>
    <row r="83" spans="3:19" ht="14.25">
      <c r="C83" s="1">
        <v>0.9</v>
      </c>
      <c r="J83" s="79" t="s">
        <v>138</v>
      </c>
      <c r="K83" s="1">
        <v>192</v>
      </c>
      <c r="L83" s="223">
        <f>1011.98661170976*$C$8</f>
        <v>25299.665292744</v>
      </c>
      <c r="M83" s="213">
        <v>25300</v>
      </c>
      <c r="N83" s="178">
        <f t="shared" si="1"/>
        <v>4857600</v>
      </c>
      <c r="O83" s="227">
        <f t="shared" si="2"/>
        <v>1.1647254575707155</v>
      </c>
      <c r="P83" s="219">
        <v>601</v>
      </c>
      <c r="Q83" s="220">
        <v>700</v>
      </c>
      <c r="R83" s="216">
        <f>ROUNDUP(N83*62%,0)</f>
        <v>3011712</v>
      </c>
      <c r="S83" s="178">
        <f>N83*62%</f>
        <v>3011712</v>
      </c>
    </row>
    <row r="84" spans="10:19" ht="14.25">
      <c r="J84" s="79" t="s">
        <v>139</v>
      </c>
      <c r="K84" s="1">
        <v>192</v>
      </c>
      <c r="L84" s="223">
        <f>1154.90626158032*$C$8</f>
        <v>28872.656539508</v>
      </c>
      <c r="M84" s="213">
        <v>28873</v>
      </c>
      <c r="N84" s="178">
        <f t="shared" si="1"/>
        <v>5543616</v>
      </c>
      <c r="O84" s="227">
        <f t="shared" si="2"/>
        <v>1.1412268188302426</v>
      </c>
      <c r="P84" s="219">
        <v>701</v>
      </c>
      <c r="Q84" s="220">
        <v>800</v>
      </c>
      <c r="R84" s="216">
        <f>ROUNDUP(N84*60%,0)</f>
        <v>3326170</v>
      </c>
      <c r="S84" s="178">
        <f>N84*60%</f>
        <v>3326169.6</v>
      </c>
    </row>
    <row r="85" spans="2:19" ht="14.25">
      <c r="B85" s="1" t="s">
        <v>140</v>
      </c>
      <c r="D85" s="1" t="s">
        <v>8</v>
      </c>
      <c r="E85" s="1" t="s">
        <v>9</v>
      </c>
      <c r="J85" s="79" t="s">
        <v>141</v>
      </c>
      <c r="K85" s="1">
        <v>192</v>
      </c>
      <c r="L85" s="223">
        <f>1297.64748492171*$C$8</f>
        <v>32441.18712304275</v>
      </c>
      <c r="M85" s="213">
        <v>32441</v>
      </c>
      <c r="N85" s="178">
        <f t="shared" si="1"/>
        <v>6228672</v>
      </c>
      <c r="O85" s="227">
        <f>Q85/P85</f>
        <v>1.1235955056179776</v>
      </c>
      <c r="P85" s="219">
        <v>801</v>
      </c>
      <c r="Q85" s="220">
        <v>900</v>
      </c>
      <c r="R85" s="216">
        <f>ROUNDUP(N85*58%,0)</f>
        <v>3612630</v>
      </c>
      <c r="S85" s="178">
        <f>N85*58%</f>
        <v>3612629.76</v>
      </c>
    </row>
    <row r="86" spans="2:19" ht="14.25">
      <c r="B86" s="87">
        <f>1000000*C8</f>
        <v>25000000</v>
      </c>
      <c r="C86" s="1">
        <v>1.7</v>
      </c>
      <c r="D86" s="87">
        <f>B86*C86%</f>
        <v>425000.00000000006</v>
      </c>
      <c r="E86" s="87">
        <f>D86</f>
        <v>425000.00000000006</v>
      </c>
      <c r="J86" s="79" t="s">
        <v>142</v>
      </c>
      <c r="K86" s="1">
        <v>192</v>
      </c>
      <c r="L86" s="223">
        <f>1440.23028293197*$C$8</f>
        <v>36005.757073299246</v>
      </c>
      <c r="M86" s="213">
        <v>36010</v>
      </c>
      <c r="N86" s="178">
        <f t="shared" si="1"/>
        <v>6913920</v>
      </c>
      <c r="O86" s="227">
        <f t="shared" si="2"/>
        <v>1.1098779134295227</v>
      </c>
      <c r="P86" s="219">
        <v>901</v>
      </c>
      <c r="Q86" s="220">
        <v>1000</v>
      </c>
      <c r="R86" s="216">
        <f>ROUNDDOWN(N86*56%,0)</f>
        <v>3871795</v>
      </c>
      <c r="S86" s="178">
        <f>N86*56%</f>
        <v>3871795.2</v>
      </c>
    </row>
    <row r="87" spans="2:19" ht="14.25">
      <c r="B87" s="87">
        <f>5000000*C8</f>
        <v>125000000</v>
      </c>
      <c r="C87" s="1">
        <v>1.6</v>
      </c>
      <c r="D87" s="87">
        <f>(B87-B86)*C87%</f>
        <v>1600000</v>
      </c>
      <c r="E87" s="87">
        <f>E86+D87</f>
        <v>2025000</v>
      </c>
      <c r="J87" s="79" t="s">
        <v>143</v>
      </c>
      <c r="K87" s="1">
        <v>192</v>
      </c>
      <c r="L87" s="223">
        <f>1798.48936430067*$C$8</f>
        <v>44962.23410751675</v>
      </c>
      <c r="M87" s="213">
        <v>44962</v>
      </c>
      <c r="N87" s="178">
        <f t="shared" si="1"/>
        <v>8632704</v>
      </c>
      <c r="O87" s="227">
        <f t="shared" si="2"/>
        <v>1.2487512487512487</v>
      </c>
      <c r="P87" s="219">
        <v>1001</v>
      </c>
      <c r="Q87" s="220">
        <v>1250</v>
      </c>
      <c r="R87" s="216">
        <f>ROUNDDOWN(N87*54%,0)</f>
        <v>4661660</v>
      </c>
      <c r="S87" s="178">
        <f>N87*54%</f>
        <v>4661660.16</v>
      </c>
    </row>
    <row r="88" spans="2:19" ht="14.25">
      <c r="B88" s="87">
        <f>10000000*C8</f>
        <v>250000000</v>
      </c>
      <c r="C88" s="1">
        <v>1.5</v>
      </c>
      <c r="D88" s="87">
        <f>(B88-B87)*C88%</f>
        <v>1875000</v>
      </c>
      <c r="E88" s="87">
        <f>E87+D88</f>
        <v>3900000</v>
      </c>
      <c r="J88" s="79" t="s">
        <v>144</v>
      </c>
      <c r="K88" s="1">
        <v>192</v>
      </c>
      <c r="L88" s="223">
        <f>2156.46206750679*$C$8</f>
        <v>53911.55168766975</v>
      </c>
      <c r="M88" s="213">
        <v>53912</v>
      </c>
      <c r="N88" s="178">
        <f t="shared" si="1"/>
        <v>10351104</v>
      </c>
      <c r="O88" s="227">
        <f t="shared" si="2"/>
        <v>1.1990407673860912</v>
      </c>
      <c r="P88" s="219">
        <v>1251</v>
      </c>
      <c r="Q88" s="220">
        <v>1500</v>
      </c>
      <c r="R88" s="216">
        <f>ROUNDDOWN(N88*52%,0)</f>
        <v>5382574</v>
      </c>
      <c r="S88" s="178">
        <f>N88*52%</f>
        <v>5382574.08</v>
      </c>
    </row>
    <row r="89" spans="2:19" ht="14.25">
      <c r="B89" s="87">
        <f>30000000*C8</f>
        <v>750000000</v>
      </c>
      <c r="C89" s="1">
        <v>1.4</v>
      </c>
      <c r="D89" s="87">
        <f>(B89-B88)*C89%</f>
        <v>6999999.999999999</v>
      </c>
      <c r="E89" s="87">
        <f>E88+D89</f>
        <v>10900000</v>
      </c>
      <c r="J89" s="79" t="s">
        <v>145</v>
      </c>
      <c r="K89" s="1">
        <v>192</v>
      </c>
      <c r="L89" s="223">
        <f>2873.36717855669*$C$8</f>
        <v>71834.17946391724</v>
      </c>
      <c r="M89" s="213">
        <v>71834</v>
      </c>
      <c r="N89" s="178">
        <f t="shared" si="1"/>
        <v>13792128</v>
      </c>
      <c r="O89" s="227">
        <f t="shared" si="2"/>
        <v>1.3324450366422385</v>
      </c>
      <c r="P89" s="219">
        <v>1501</v>
      </c>
      <c r="Q89" s="220">
        <v>2000</v>
      </c>
      <c r="R89" s="216">
        <f>ROUNDDOWN(N89*50%,0)</f>
        <v>6896064</v>
      </c>
      <c r="S89" s="178">
        <f>N89*50%</f>
        <v>6896064</v>
      </c>
    </row>
    <row r="90" spans="2:19" ht="14.25">
      <c r="B90" s="87">
        <f>100000000*C8</f>
        <v>2500000000</v>
      </c>
      <c r="C90" s="1">
        <v>1.3</v>
      </c>
      <c r="D90" s="87">
        <f>(B90-B89)*C90%</f>
        <v>22750000.000000004</v>
      </c>
      <c r="E90" s="87">
        <f>E89+D90</f>
        <v>33650000</v>
      </c>
      <c r="J90" s="79" t="s">
        <v>146</v>
      </c>
      <c r="K90" s="1">
        <v>192</v>
      </c>
      <c r="L90" s="228">
        <f>3589.91401618777*$C$8</f>
        <v>89747.85040469425</v>
      </c>
      <c r="M90" s="213">
        <v>89750</v>
      </c>
      <c r="N90" s="178">
        <f t="shared" si="1"/>
        <v>17232000</v>
      </c>
      <c r="O90" s="229">
        <f t="shared" si="2"/>
        <v>1.249375312343828</v>
      </c>
      <c r="P90" s="221">
        <v>2001</v>
      </c>
      <c r="Q90" s="222">
        <v>2500</v>
      </c>
      <c r="R90" s="216">
        <f>ROUNDDOWN(N90*48%,0)</f>
        <v>8271360</v>
      </c>
      <c r="S90" s="178">
        <f>N90*48%</f>
        <v>8271360</v>
      </c>
    </row>
    <row r="91" ht="12.75">
      <c r="C91" s="1">
        <v>1.2</v>
      </c>
    </row>
    <row r="93" spans="2:9" ht="12.75">
      <c r="B93" s="244" t="s">
        <v>147</v>
      </c>
      <c r="C93" s="196">
        <v>1000000</v>
      </c>
      <c r="D93" s="197">
        <f>C93</f>
        <v>1000000</v>
      </c>
      <c r="E93" s="230"/>
      <c r="F93" s="197">
        <f>C48</f>
        <v>203958</v>
      </c>
      <c r="G93" s="199">
        <f>F93</f>
        <v>203958</v>
      </c>
      <c r="I93" s="79" t="s">
        <v>214</v>
      </c>
    </row>
    <row r="94" spans="2:7" ht="12.75">
      <c r="B94" s="247"/>
      <c r="C94" s="192">
        <f>D94-D93</f>
        <v>4000000</v>
      </c>
      <c r="D94" s="200">
        <v>5000000</v>
      </c>
      <c r="E94" s="81">
        <v>0.4</v>
      </c>
      <c r="F94" s="201">
        <f>C94*E94%</f>
        <v>16000</v>
      </c>
      <c r="G94" s="202">
        <f>G93+F94</f>
        <v>219958</v>
      </c>
    </row>
    <row r="95" spans="2:14" ht="12.75">
      <c r="B95" s="247"/>
      <c r="C95" s="192">
        <f>D95-D94</f>
        <v>10000000</v>
      </c>
      <c r="D95" s="200">
        <v>15000000</v>
      </c>
      <c r="E95" s="81">
        <v>0.3</v>
      </c>
      <c r="F95" s="201">
        <f>C95*E95%</f>
        <v>30000</v>
      </c>
      <c r="G95" s="202">
        <f>G94+F95</f>
        <v>249958</v>
      </c>
      <c r="L95" s="79" t="s">
        <v>10</v>
      </c>
      <c r="M95" s="79" t="s">
        <v>8</v>
      </c>
      <c r="N95" s="79" t="s">
        <v>9</v>
      </c>
    </row>
    <row r="96" spans="2:14" ht="12.75">
      <c r="B96" s="247"/>
      <c r="C96" s="192">
        <f>D96-D95</f>
        <v>25000000</v>
      </c>
      <c r="D96" s="200">
        <v>40000000</v>
      </c>
      <c r="E96" s="81">
        <v>0.2</v>
      </c>
      <c r="F96" s="201">
        <f>C96*E96%</f>
        <v>50000</v>
      </c>
      <c r="G96" s="202">
        <f>G95+F96</f>
        <v>299958</v>
      </c>
      <c r="J96" s="87">
        <f>100000*C8</f>
        <v>2500000</v>
      </c>
      <c r="K96" s="87">
        <f>J96</f>
        <v>2500000</v>
      </c>
      <c r="L96" s="1">
        <v>10</v>
      </c>
      <c r="M96" s="87">
        <f>J96*L96%</f>
        <v>250000</v>
      </c>
      <c r="N96" s="87">
        <f>M96</f>
        <v>250000</v>
      </c>
    </row>
    <row r="97" spans="2:14" ht="12.75">
      <c r="B97" s="248"/>
      <c r="C97" s="249" t="s">
        <v>148</v>
      </c>
      <c r="D97" s="250"/>
      <c r="E97" s="204">
        <v>0.1</v>
      </c>
      <c r="F97" s="231"/>
      <c r="G97" s="232"/>
      <c r="J97" s="87">
        <f aca="true" t="shared" si="3" ref="J97:J105">K97-K96</f>
        <v>2500000</v>
      </c>
      <c r="K97" s="87">
        <f>200000*C8</f>
        <v>5000000</v>
      </c>
      <c r="L97" s="1">
        <v>9</v>
      </c>
      <c r="M97" s="87">
        <f aca="true" t="shared" si="4" ref="M97:M105">J97*L97%</f>
        <v>225000</v>
      </c>
      <c r="N97" s="87">
        <f>N96+M97</f>
        <v>475000</v>
      </c>
    </row>
    <row r="98" spans="10:14" ht="12.75">
      <c r="J98" s="87">
        <f t="shared" si="3"/>
        <v>7500000</v>
      </c>
      <c r="K98" s="87">
        <f>500000*C8</f>
        <v>12500000</v>
      </c>
      <c r="L98" s="1">
        <v>8</v>
      </c>
      <c r="M98" s="87">
        <f t="shared" si="4"/>
        <v>600000</v>
      </c>
      <c r="N98" s="87">
        <f aca="true" t="shared" si="5" ref="N98:N105">N97+M98</f>
        <v>1075000</v>
      </c>
    </row>
    <row r="99" spans="10:14" ht="12.75">
      <c r="J99" s="87">
        <f t="shared" si="3"/>
        <v>12500000</v>
      </c>
      <c r="K99" s="87">
        <f>1000000*C8</f>
        <v>25000000</v>
      </c>
      <c r="L99" s="1">
        <v>7</v>
      </c>
      <c r="M99" s="87">
        <f t="shared" si="4"/>
        <v>875000.0000000001</v>
      </c>
      <c r="N99" s="87">
        <f t="shared" si="5"/>
        <v>1950000</v>
      </c>
    </row>
    <row r="100" spans="2:14" ht="12.75">
      <c r="B100" s="79" t="s">
        <v>149</v>
      </c>
      <c r="J100" s="87">
        <f t="shared" si="3"/>
        <v>25000000</v>
      </c>
      <c r="K100" s="87">
        <f>2000000*C8</f>
        <v>50000000</v>
      </c>
      <c r="L100" s="1">
        <v>6</v>
      </c>
      <c r="M100" s="87">
        <f t="shared" si="4"/>
        <v>1500000</v>
      </c>
      <c r="N100" s="87">
        <f t="shared" si="5"/>
        <v>3450000</v>
      </c>
    </row>
    <row r="101" spans="3:14" ht="12.75">
      <c r="C101" s="79" t="s">
        <v>150</v>
      </c>
      <c r="D101" s="79" t="s">
        <v>151</v>
      </c>
      <c r="E101" s="79" t="s">
        <v>152</v>
      </c>
      <c r="F101" s="79" t="s">
        <v>153</v>
      </c>
      <c r="G101" s="79" t="s">
        <v>18</v>
      </c>
      <c r="J101" s="87">
        <f t="shared" si="3"/>
        <v>75000000</v>
      </c>
      <c r="K101" s="87">
        <f>5000000*C8</f>
        <v>125000000</v>
      </c>
      <c r="L101" s="1">
        <v>5</v>
      </c>
      <c r="M101" s="87">
        <f t="shared" si="4"/>
        <v>3750000</v>
      </c>
      <c r="N101" s="87">
        <f t="shared" si="5"/>
        <v>7200000</v>
      </c>
    </row>
    <row r="102" spans="1:14" ht="12.75">
      <c r="A102" s="79" t="s">
        <v>154</v>
      </c>
      <c r="B102" s="142">
        <v>476766</v>
      </c>
      <c r="C102" s="1">
        <v>1</v>
      </c>
      <c r="E102" s="27">
        <f>B102</f>
        <v>476766</v>
      </c>
      <c r="F102" s="81">
        <v>4</v>
      </c>
      <c r="G102" s="88">
        <f>B104</f>
        <v>508748.4355608199</v>
      </c>
      <c r="J102" s="87">
        <f t="shared" si="3"/>
        <v>125000000</v>
      </c>
      <c r="K102" s="87">
        <f>10000000*C8</f>
        <v>250000000</v>
      </c>
      <c r="L102" s="1">
        <v>4</v>
      </c>
      <c r="M102" s="87">
        <f t="shared" si="4"/>
        <v>5000000</v>
      </c>
      <c r="N102" s="87">
        <f t="shared" si="5"/>
        <v>12200000</v>
      </c>
    </row>
    <row r="103" spans="3:14" ht="12.75">
      <c r="C103" s="1">
        <v>10</v>
      </c>
      <c r="D103" s="1">
        <v>1.3</v>
      </c>
      <c r="E103" s="27">
        <f>E102*D103</f>
        <v>619795.8</v>
      </c>
      <c r="F103" s="81">
        <v>4</v>
      </c>
      <c r="G103" s="88">
        <f>E103+((E103/2)*(4-1)*0.1)/(5^(1/2))</f>
        <v>661372.966229066</v>
      </c>
      <c r="J103" s="87">
        <f t="shared" si="3"/>
        <v>250000000</v>
      </c>
      <c r="K103" s="87">
        <f>20000000*C8</f>
        <v>500000000</v>
      </c>
      <c r="L103" s="1">
        <v>3</v>
      </c>
      <c r="M103" s="87">
        <f t="shared" si="4"/>
        <v>7500000</v>
      </c>
      <c r="N103" s="87">
        <f t="shared" si="5"/>
        <v>19700000</v>
      </c>
    </row>
    <row r="104" spans="1:14" ht="12.75">
      <c r="A104" s="79" t="s">
        <v>18</v>
      </c>
      <c r="B104" s="88">
        <f>B102+((B102/2)*(4-1)*0.1)/(5^(1/2))</f>
        <v>508748.4355608199</v>
      </c>
      <c r="C104" s="1">
        <v>25</v>
      </c>
      <c r="D104" s="1">
        <v>1.3</v>
      </c>
      <c r="E104" s="27">
        <f>E103*D104</f>
        <v>805734.54</v>
      </c>
      <c r="F104" s="81">
        <v>4</v>
      </c>
      <c r="G104" s="88">
        <f aca="true" t="shared" si="6" ref="G104:G123">E104+((E104/2)*(4-1)*0.1)/(5^(1/2))</f>
        <v>859784.8560977858</v>
      </c>
      <c r="J104" s="87">
        <f t="shared" si="3"/>
        <v>500000000</v>
      </c>
      <c r="K104" s="87">
        <f>40000000*C8</f>
        <v>1000000000</v>
      </c>
      <c r="L104" s="1">
        <v>2</v>
      </c>
      <c r="M104" s="87">
        <f t="shared" si="4"/>
        <v>10000000</v>
      </c>
      <c r="N104" s="87">
        <f t="shared" si="5"/>
        <v>29700000</v>
      </c>
    </row>
    <row r="105" spans="3:14" ht="12.75">
      <c r="C105" s="1">
        <v>50</v>
      </c>
      <c r="D105" s="1">
        <v>1.25</v>
      </c>
      <c r="E105" s="27">
        <f aca="true" t="shared" si="7" ref="E105:E123">E104*D105</f>
        <v>1007168.175</v>
      </c>
      <c r="F105" s="81">
        <v>4</v>
      </c>
      <c r="G105" s="88">
        <f t="shared" si="6"/>
        <v>1074731.0701222322</v>
      </c>
      <c r="J105" s="87">
        <f t="shared" si="3"/>
        <v>1000000000</v>
      </c>
      <c r="K105" s="87">
        <f>80000000*C8</f>
        <v>2000000000</v>
      </c>
      <c r="L105" s="1">
        <v>1</v>
      </c>
      <c r="M105" s="87">
        <f t="shared" si="4"/>
        <v>10000000</v>
      </c>
      <c r="N105" s="87">
        <f t="shared" si="5"/>
        <v>39700000</v>
      </c>
    </row>
    <row r="106" spans="2:12" ht="12.75">
      <c r="B106" s="87">
        <f>ROUNDDOWN(B104,0)</f>
        <v>508748</v>
      </c>
      <c r="C106" s="1">
        <v>100</v>
      </c>
      <c r="D106" s="1">
        <v>1.2</v>
      </c>
      <c r="E106" s="27">
        <f t="shared" si="7"/>
        <v>1208601.81</v>
      </c>
      <c r="F106" s="81">
        <v>4</v>
      </c>
      <c r="G106" s="88">
        <f t="shared" si="6"/>
        <v>1289677.2841466786</v>
      </c>
      <c r="L106" s="1">
        <v>0.5</v>
      </c>
    </row>
    <row r="107" spans="3:7" ht="12.75">
      <c r="C107" s="1">
        <v>150</v>
      </c>
      <c r="D107" s="1">
        <v>1.2</v>
      </c>
      <c r="E107" s="27">
        <f t="shared" si="7"/>
        <v>1450322.172</v>
      </c>
      <c r="F107" s="81">
        <v>4</v>
      </c>
      <c r="G107" s="88">
        <f t="shared" si="6"/>
        <v>1547612.7409760142</v>
      </c>
    </row>
    <row r="108" spans="3:7" ht="12.75">
      <c r="C108" s="1">
        <v>200</v>
      </c>
      <c r="D108" s="1">
        <v>1.25</v>
      </c>
      <c r="E108" s="27">
        <f t="shared" si="7"/>
        <v>1812902.715</v>
      </c>
      <c r="F108" s="81">
        <v>4</v>
      </c>
      <c r="G108" s="88">
        <f t="shared" si="6"/>
        <v>1934515.926220018</v>
      </c>
    </row>
    <row r="109" spans="3:7" ht="12.75">
      <c r="C109" s="1">
        <v>250</v>
      </c>
      <c r="D109" s="1">
        <v>1.25</v>
      </c>
      <c r="E109" s="27">
        <f t="shared" si="7"/>
        <v>2266128.3937500003</v>
      </c>
      <c r="F109" s="81">
        <v>4</v>
      </c>
      <c r="G109" s="88">
        <f t="shared" si="6"/>
        <v>2418144.9077750226</v>
      </c>
    </row>
    <row r="110" spans="3:7" ht="12.75">
      <c r="C110" s="1">
        <v>300</v>
      </c>
      <c r="D110" s="1">
        <v>1.25</v>
      </c>
      <c r="E110" s="27">
        <f t="shared" si="7"/>
        <v>2832660.4921875005</v>
      </c>
      <c r="F110" s="81">
        <v>4</v>
      </c>
      <c r="G110" s="88">
        <f t="shared" si="6"/>
        <v>3022681.1347187785</v>
      </c>
    </row>
    <row r="111" spans="3:7" ht="12.75">
      <c r="C111" s="1">
        <v>400</v>
      </c>
      <c r="D111" s="1">
        <v>1.25</v>
      </c>
      <c r="E111" s="27">
        <f t="shared" si="7"/>
        <v>3540825.6152343755</v>
      </c>
      <c r="F111" s="81">
        <v>4</v>
      </c>
      <c r="G111" s="88">
        <f t="shared" si="6"/>
        <v>3778351.418398473</v>
      </c>
    </row>
    <row r="112" spans="3:7" ht="12.75">
      <c r="C112" s="1">
        <v>500</v>
      </c>
      <c r="D112" s="1">
        <v>1.25</v>
      </c>
      <c r="E112" s="27">
        <f t="shared" si="7"/>
        <v>4426032.01904297</v>
      </c>
      <c r="F112" s="81">
        <v>4</v>
      </c>
      <c r="G112" s="88">
        <f t="shared" si="6"/>
        <v>4722939.272998092</v>
      </c>
    </row>
    <row r="113" spans="3:7" ht="12.75">
      <c r="C113" s="1">
        <v>600</v>
      </c>
      <c r="D113" s="1">
        <v>1.2</v>
      </c>
      <c r="E113" s="27">
        <f t="shared" si="7"/>
        <v>5311238.422851563</v>
      </c>
      <c r="F113" s="81">
        <v>4</v>
      </c>
      <c r="G113" s="88">
        <f t="shared" si="6"/>
        <v>5667527.127597709</v>
      </c>
    </row>
    <row r="114" spans="3:7" ht="12.75">
      <c r="C114" s="1">
        <v>700</v>
      </c>
      <c r="D114" s="1">
        <v>1.17</v>
      </c>
      <c r="E114" s="27">
        <f t="shared" si="7"/>
        <v>6214148.954736329</v>
      </c>
      <c r="F114" s="81">
        <v>4</v>
      </c>
      <c r="G114" s="88">
        <f t="shared" si="6"/>
        <v>6631006.739289319</v>
      </c>
    </row>
    <row r="115" spans="3:7" ht="12.75">
      <c r="C115" s="1">
        <v>800</v>
      </c>
      <c r="D115" s="1">
        <v>1.14</v>
      </c>
      <c r="E115" s="27">
        <f t="shared" si="7"/>
        <v>7084129.808399414</v>
      </c>
      <c r="F115" s="81">
        <v>4</v>
      </c>
      <c r="G115" s="88">
        <f t="shared" si="6"/>
        <v>7559347.682789823</v>
      </c>
    </row>
    <row r="116" spans="3:7" ht="12.75">
      <c r="C116" s="1">
        <v>900</v>
      </c>
      <c r="D116" s="1">
        <v>1.13</v>
      </c>
      <c r="E116" s="27">
        <f t="shared" si="7"/>
        <v>8005066.683491337</v>
      </c>
      <c r="F116" s="81">
        <v>4</v>
      </c>
      <c r="G116" s="88">
        <f t="shared" si="6"/>
        <v>8542062.881552499</v>
      </c>
    </row>
    <row r="117" spans="3:7" ht="12.75">
      <c r="C117" s="1">
        <v>1000</v>
      </c>
      <c r="D117" s="1">
        <v>1.11</v>
      </c>
      <c r="E117" s="27">
        <f t="shared" si="7"/>
        <v>8885624.018675385</v>
      </c>
      <c r="F117" s="81">
        <v>4</v>
      </c>
      <c r="G117" s="88">
        <f t="shared" si="6"/>
        <v>9481689.798523275</v>
      </c>
    </row>
    <row r="118" spans="3:7" ht="12.75">
      <c r="C118" s="1">
        <v>1100</v>
      </c>
      <c r="D118" s="1">
        <v>1.1</v>
      </c>
      <c r="E118" s="27">
        <f t="shared" si="7"/>
        <v>9774186.420542924</v>
      </c>
      <c r="F118" s="81">
        <v>4</v>
      </c>
      <c r="G118" s="88">
        <f t="shared" si="6"/>
        <v>10429858.778375603</v>
      </c>
    </row>
    <row r="119" spans="3:7" ht="12.75">
      <c r="C119" s="1">
        <v>1200</v>
      </c>
      <c r="D119" s="1">
        <v>1.1</v>
      </c>
      <c r="E119" s="27">
        <f t="shared" si="7"/>
        <v>10751605.062597217</v>
      </c>
      <c r="F119" s="81">
        <v>4</v>
      </c>
      <c r="G119" s="88">
        <f t="shared" si="6"/>
        <v>11472844.656213164</v>
      </c>
    </row>
    <row r="120" spans="3:7" ht="12.75">
      <c r="C120" s="1">
        <v>1300</v>
      </c>
      <c r="D120" s="1">
        <v>1.1</v>
      </c>
      <c r="E120" s="27">
        <f t="shared" si="7"/>
        <v>11826765.56885694</v>
      </c>
      <c r="F120" s="81">
        <v>4</v>
      </c>
      <c r="G120" s="88">
        <f t="shared" si="6"/>
        <v>12620129.121834483</v>
      </c>
    </row>
    <row r="121" spans="3:7" ht="12.75">
      <c r="C121" s="1">
        <v>1400</v>
      </c>
      <c r="D121" s="1">
        <v>1.1</v>
      </c>
      <c r="E121" s="27">
        <f t="shared" si="7"/>
        <v>13009442.125742635</v>
      </c>
      <c r="F121" s="81">
        <v>4</v>
      </c>
      <c r="G121" s="88">
        <f t="shared" si="6"/>
        <v>13882142.034017932</v>
      </c>
    </row>
    <row r="122" spans="3:7" ht="12.75">
      <c r="C122" s="1">
        <v>1500</v>
      </c>
      <c r="D122" s="1">
        <v>1.1</v>
      </c>
      <c r="E122" s="27">
        <f t="shared" si="7"/>
        <v>14310386.338316899</v>
      </c>
      <c r="F122" s="81">
        <v>4</v>
      </c>
      <c r="G122" s="88">
        <f t="shared" si="6"/>
        <v>15270356.237419724</v>
      </c>
    </row>
    <row r="123" spans="3:7" ht="12.75">
      <c r="C123" s="1">
        <v>1600</v>
      </c>
      <c r="D123" s="1">
        <v>1.1</v>
      </c>
      <c r="E123" s="27">
        <f t="shared" si="7"/>
        <v>15741424.97214859</v>
      </c>
      <c r="F123" s="81">
        <v>4</v>
      </c>
      <c r="G123" s="88">
        <f t="shared" si="6"/>
        <v>16797391.861161698</v>
      </c>
    </row>
  </sheetData>
  <sheetProtection password="D222" sheet="1" objects="1" scenarios="1" selectLockedCells="1" selectUnlockedCells="1"/>
  <mergeCells count="8">
    <mergeCell ref="J32:J46"/>
    <mergeCell ref="F44:G45"/>
    <mergeCell ref="D47:D48"/>
    <mergeCell ref="B50:B52"/>
    <mergeCell ref="B55:B59"/>
    <mergeCell ref="B93:B97"/>
    <mergeCell ref="C97:D97"/>
    <mergeCell ref="B3:E3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B2:N91"/>
  <sheetViews>
    <sheetView showGridLines="0" tabSelected="1" zoomScalePageLayoutView="0" workbookViewId="0" topLeftCell="A1">
      <selection activeCell="F71" sqref="F71:G76"/>
    </sheetView>
  </sheetViews>
  <sheetFormatPr defaultColWidth="11.421875" defaultRowHeight="19.5" customHeight="1"/>
  <cols>
    <col min="1" max="1" width="3.7109375" style="1" customWidth="1"/>
    <col min="2" max="3" width="19.7109375" style="1" customWidth="1"/>
    <col min="4" max="4" width="19.7109375" style="73" customWidth="1"/>
    <col min="5" max="5" width="22.28125" style="1" customWidth="1"/>
    <col min="6" max="6" width="18.8515625" style="1" customWidth="1"/>
    <col min="7" max="7" width="18.00390625" style="1" customWidth="1"/>
    <col min="8" max="9" width="12.7109375" style="1" customWidth="1"/>
    <col min="10" max="16384" width="9.140625" style="1" customWidth="1"/>
  </cols>
  <sheetData>
    <row r="1" ht="13.5" customHeight="1"/>
    <row r="2" spans="2:7" ht="13.5" customHeight="1">
      <c r="B2" s="89" t="s">
        <v>155</v>
      </c>
      <c r="C2" s="90"/>
      <c r="D2" s="1"/>
      <c r="E2" s="89" t="s">
        <v>156</v>
      </c>
      <c r="F2" s="278"/>
      <c r="G2" s="278"/>
    </row>
    <row r="3" spans="2:4" ht="13.5" customHeight="1">
      <c r="B3" s="89"/>
      <c r="D3" s="1"/>
    </row>
    <row r="4" spans="2:7" ht="13.5" customHeight="1">
      <c r="B4" s="89" t="s">
        <v>157</v>
      </c>
      <c r="C4" s="91"/>
      <c r="D4" s="1"/>
      <c r="E4" s="89" t="s">
        <v>158</v>
      </c>
      <c r="F4" s="279"/>
      <c r="G4" s="279"/>
    </row>
    <row r="5" ht="13.5" customHeight="1">
      <c r="D5" s="1"/>
    </row>
    <row r="6" spans="2:7" ht="19.5" customHeight="1">
      <c r="B6" s="280" t="s">
        <v>159</v>
      </c>
      <c r="C6" s="280"/>
      <c r="D6" s="280"/>
      <c r="E6" s="280"/>
      <c r="F6" s="280"/>
      <c r="G6" s="280"/>
    </row>
    <row r="7" spans="2:7" ht="8.25" customHeight="1">
      <c r="B7" s="92"/>
      <c r="C7" s="92"/>
      <c r="D7" s="92"/>
      <c r="E7" s="92"/>
      <c r="F7" s="92"/>
      <c r="G7" s="92"/>
    </row>
    <row r="8" spans="2:7" ht="19.5" customHeight="1">
      <c r="B8" s="280" t="s">
        <v>160</v>
      </c>
      <c r="C8" s="280"/>
      <c r="D8" s="280"/>
      <c r="E8" s="280"/>
      <c r="F8" s="280"/>
      <c r="G8" s="280"/>
    </row>
    <row r="9" spans="2:7" ht="15" customHeight="1">
      <c r="B9" s="92"/>
      <c r="C9" s="92"/>
      <c r="D9" s="92"/>
      <c r="E9" s="92"/>
      <c r="F9" s="92"/>
      <c r="G9" s="92"/>
    </row>
    <row r="10" spans="2:7" ht="19.5" customHeight="1">
      <c r="B10" s="281" t="s">
        <v>161</v>
      </c>
      <c r="C10" s="281"/>
      <c r="D10" s="281"/>
      <c r="E10" s="281"/>
      <c r="F10" s="281"/>
      <c r="G10" s="281"/>
    </row>
    <row r="11" ht="13.5" customHeight="1"/>
    <row r="12" spans="3:6" ht="13.5" customHeight="1">
      <c r="C12" s="93" t="s">
        <v>162</v>
      </c>
      <c r="D12" s="94">
        <f>+x!C8</f>
        <v>25</v>
      </c>
      <c r="F12" s="95" t="str">
        <f>x!F2</f>
        <v>Vigente desde el 01/04/2024</v>
      </c>
    </row>
    <row r="13" ht="13.5" customHeight="1">
      <c r="B13" s="72"/>
    </row>
    <row r="14" spans="2:5" ht="13.5" customHeight="1">
      <c r="B14" s="242" t="s">
        <v>2</v>
      </c>
      <c r="C14" s="242"/>
      <c r="D14" s="282">
        <f>IF(CAIE!$D$26=3,"Cat. 3º",IF(CAIE!$D$26=5,"Cat. 5º",IF(CAIE!$D$26=7,"Cat. 7º",IF(CAIE!$D$26=8,"Cat. 8º",""))))</f>
      </c>
      <c r="E14" s="282"/>
    </row>
    <row r="15" spans="2:5" ht="13.5" customHeight="1">
      <c r="B15" s="96" t="s">
        <v>8</v>
      </c>
      <c r="C15" s="97" t="s">
        <v>9</v>
      </c>
      <c r="D15" s="98" t="s">
        <v>10</v>
      </c>
      <c r="E15" s="97" t="s">
        <v>9</v>
      </c>
    </row>
    <row r="16" spans="2:5" ht="13.5" customHeight="1">
      <c r="B16" s="99">
        <f>1000000*D12</f>
        <v>25000000</v>
      </c>
      <c r="C16" s="100">
        <f>+B16</f>
        <v>25000000</v>
      </c>
      <c r="D16" s="101">
        <f>IF(CAIE!$D$26=3,0.06,IF(CAIE!$D$26=5,0.07,IF(CAIE!$D$26=7,0.08,IF(CAIE!$D$26=8,0.085,0))))</f>
        <v>0</v>
      </c>
      <c r="E16" s="100">
        <f>+$C$16*D16</f>
        <v>0</v>
      </c>
    </row>
    <row r="17" spans="2:5" ht="13.5" customHeight="1">
      <c r="B17" s="102">
        <f>4000000*D12</f>
        <v>100000000</v>
      </c>
      <c r="C17" s="103">
        <f>+C16+B17</f>
        <v>125000000</v>
      </c>
      <c r="D17" s="104">
        <f>IF($D$26&gt;0,+D16-0.5%,0)</f>
        <v>0</v>
      </c>
      <c r="E17" s="103">
        <f>+B17*D17+E16</f>
        <v>0</v>
      </c>
    </row>
    <row r="18" spans="2:5" ht="13.5" customHeight="1">
      <c r="B18" s="102">
        <f>5000000*D12</f>
        <v>125000000</v>
      </c>
      <c r="C18" s="103">
        <f>+C17+B18</f>
        <v>250000000</v>
      </c>
      <c r="D18" s="104">
        <f>IF($D$26&gt;0,+D17-0.5%,0)</f>
        <v>0</v>
      </c>
      <c r="E18" s="103">
        <f>+B18*D18+E17</f>
        <v>0</v>
      </c>
    </row>
    <row r="19" spans="2:5" ht="13.5" customHeight="1">
      <c r="B19" s="102">
        <f>20000000*D12</f>
        <v>500000000</v>
      </c>
      <c r="C19" s="103">
        <f>+C18+B19</f>
        <v>750000000</v>
      </c>
      <c r="D19" s="104">
        <f>+IF(D26&gt;0,IF(D26=2,0.0375,+D18-0.5%),0)</f>
        <v>0</v>
      </c>
      <c r="E19" s="103">
        <f>+B19*D19+E18</f>
        <v>0</v>
      </c>
    </row>
    <row r="20" spans="2:5" ht="13.5" customHeight="1">
      <c r="B20" s="102">
        <f>70000000*D12</f>
        <v>1750000000</v>
      </c>
      <c r="C20" s="103">
        <f>+C19+B20</f>
        <v>2500000000</v>
      </c>
      <c r="D20" s="104">
        <f>+IF(D26&gt;0,IF(D26=2,0.035,+D19-0.5%),0)</f>
        <v>0</v>
      </c>
      <c r="E20" s="103">
        <f>+B20*D20+E19</f>
        <v>0</v>
      </c>
    </row>
    <row r="21" spans="2:5" ht="13.5" customHeight="1">
      <c r="B21" s="105"/>
      <c r="C21" s="12" t="s">
        <v>11</v>
      </c>
      <c r="D21" s="106">
        <f>+IF(D26&gt;0,IF(D26=2,0.0325,+D20-0.5%),0)</f>
        <v>0</v>
      </c>
      <c r="E21" s="12"/>
    </row>
    <row r="22" ht="13.5" customHeight="1"/>
    <row r="23" ht="13.5" customHeight="1"/>
    <row r="24" spans="2:8" ht="13.5" customHeight="1">
      <c r="B24" s="275" t="s">
        <v>163</v>
      </c>
      <c r="C24" s="275"/>
      <c r="D24" s="275"/>
      <c r="E24" s="275"/>
      <c r="F24" s="275"/>
      <c r="G24" s="275"/>
      <c r="H24" s="107"/>
    </row>
    <row r="25" ht="13.5" customHeight="1">
      <c r="B25" s="79"/>
    </row>
    <row r="26" spans="2:14" ht="13.5" customHeight="1">
      <c r="B26" s="276" t="s">
        <v>164</v>
      </c>
      <c r="C26" s="276"/>
      <c r="D26" s="108"/>
      <c r="E26" s="109"/>
      <c r="N26" s="110">
        <v>3</v>
      </c>
    </row>
    <row r="27" spans="2:14" ht="13.5" customHeight="1">
      <c r="B27" s="81"/>
      <c r="C27" s="81"/>
      <c r="D27" s="111"/>
      <c r="N27" s="110">
        <v>5</v>
      </c>
    </row>
    <row r="28" spans="2:14" ht="13.5" customHeight="1">
      <c r="B28" s="269" t="s">
        <v>165</v>
      </c>
      <c r="C28" s="269"/>
      <c r="D28" s="73" t="s">
        <v>166</v>
      </c>
      <c r="N28" s="110">
        <v>7</v>
      </c>
    </row>
    <row r="29" spans="2:14" ht="13.5" customHeight="1">
      <c r="B29" s="113"/>
      <c r="C29" s="113"/>
      <c r="N29" s="110">
        <v>8</v>
      </c>
    </row>
    <row r="30" spans="2:4" ht="13.5" customHeight="1">
      <c r="B30" s="277" t="s">
        <v>167</v>
      </c>
      <c r="C30" s="277"/>
      <c r="D30" s="108"/>
    </row>
    <row r="31" spans="2:4" ht="13.5" customHeight="1">
      <c r="B31" s="277" t="s">
        <v>168</v>
      </c>
      <c r="C31" s="277"/>
      <c r="D31" s="108"/>
    </row>
    <row r="32" spans="2:8" ht="13.5" customHeight="1">
      <c r="B32" s="277" t="s">
        <v>169</v>
      </c>
      <c r="C32" s="277"/>
      <c r="D32" s="108"/>
      <c r="E32" s="1" t="s">
        <v>170</v>
      </c>
      <c r="H32" s="114"/>
    </row>
    <row r="33" spans="3:8" ht="13.5" customHeight="1">
      <c r="C33" s="81"/>
      <c r="D33" s="111"/>
      <c r="E33" s="79"/>
      <c r="H33" s="114"/>
    </row>
    <row r="34" spans="2:8" ht="13.5" customHeight="1">
      <c r="B34" s="269" t="s">
        <v>171</v>
      </c>
      <c r="C34" s="269"/>
      <c r="D34" s="20"/>
      <c r="E34" s="17"/>
      <c r="H34" s="115"/>
    </row>
    <row r="35" spans="2:8" ht="13.5" customHeight="1">
      <c r="B35" s="112"/>
      <c r="C35" s="112"/>
      <c r="D35" s="20"/>
      <c r="E35" s="17"/>
      <c r="H35" s="115"/>
    </row>
    <row r="36" spans="2:4" ht="13.5" customHeight="1">
      <c r="B36" s="270" t="s">
        <v>172</v>
      </c>
      <c r="C36" s="270"/>
      <c r="D36" s="116"/>
    </row>
    <row r="37" ht="13.5" customHeight="1"/>
    <row r="38" spans="2:5" ht="13.5" customHeight="1">
      <c r="B38" s="271" t="s">
        <v>173</v>
      </c>
      <c r="C38" s="271"/>
      <c r="D38" s="271"/>
      <c r="E38" s="271"/>
    </row>
    <row r="39" spans="2:5" ht="7.5" customHeight="1">
      <c r="B39" s="117"/>
      <c r="C39" s="117"/>
      <c r="D39" s="117"/>
      <c r="E39" s="117"/>
    </row>
    <row r="40" spans="3:7" ht="13.5" customHeight="1">
      <c r="C40" s="118" t="s">
        <v>174</v>
      </c>
      <c r="D40" s="119"/>
      <c r="E40" s="120" t="s">
        <v>175</v>
      </c>
      <c r="F40" s="121">
        <f>x!C20</f>
        <v>180000</v>
      </c>
      <c r="G40" s="122">
        <f>+F40*D40</f>
        <v>0</v>
      </c>
    </row>
    <row r="41" spans="3:7" ht="13.5" customHeight="1">
      <c r="C41" s="118" t="s">
        <v>176</v>
      </c>
      <c r="D41" s="119"/>
      <c r="E41" s="120" t="s">
        <v>177</v>
      </c>
      <c r="F41" s="121">
        <f>x!C21</f>
        <v>40000</v>
      </c>
      <c r="G41" s="122">
        <f>+F41*D41</f>
        <v>0</v>
      </c>
    </row>
    <row r="42" spans="4:7" ht="13.5" customHeight="1">
      <c r="D42" s="119"/>
      <c r="E42" s="123"/>
      <c r="F42" s="119"/>
      <c r="G42" s="122">
        <f>+F42*D42</f>
        <v>0</v>
      </c>
    </row>
    <row r="43" spans="2:4" ht="13.5" customHeight="1">
      <c r="B43" s="81"/>
      <c r="C43" s="124"/>
      <c r="D43" s="1"/>
    </row>
    <row r="44" spans="3:7" ht="13.5" customHeight="1">
      <c r="C44" s="115"/>
      <c r="D44" s="272" t="s">
        <v>178</v>
      </c>
      <c r="E44" s="272"/>
      <c r="F44" s="272"/>
      <c r="G44" s="125">
        <f>SUM(G40:G42)</f>
        <v>0</v>
      </c>
    </row>
    <row r="45" ht="13.5" customHeight="1">
      <c r="D45" s="1"/>
    </row>
    <row r="46" spans="2:5" ht="13.5" customHeight="1">
      <c r="B46" s="273" t="s">
        <v>179</v>
      </c>
      <c r="C46" s="273"/>
      <c r="D46" s="274">
        <f>D36+G44</f>
        <v>0</v>
      </c>
      <c r="E46" s="274"/>
    </row>
    <row r="47" ht="13.5" customHeight="1"/>
    <row r="48" spans="2:5" ht="13.5" customHeight="1">
      <c r="B48" s="264" t="s">
        <v>180</v>
      </c>
      <c r="C48" s="264"/>
      <c r="D48" s="264"/>
      <c r="E48" s="264"/>
    </row>
    <row r="49" spans="2:5" ht="7.5" customHeight="1">
      <c r="B49" s="126"/>
      <c r="C49" s="126"/>
      <c r="D49" s="126"/>
      <c r="E49" s="126"/>
    </row>
    <row r="50" spans="2:8" ht="13.5" customHeight="1">
      <c r="B50" s="1" t="s">
        <v>89</v>
      </c>
      <c r="C50" s="75">
        <f>IF(D46&gt;=CAIE!C20,CAIE!C20,IF(D46&gt;=CAIE!C19,CAIE!C19,IF(D46&gt;=CAIE!C18,CAIE!C18,IF(D46&gt;=CAIE!C17,CAIE!C17,IF(D46&gt;=CAIE!C16,CAIE!C16,IF(D46&lt;CAIE!C16,D46))))))</f>
        <v>0</v>
      </c>
      <c r="D50" s="19">
        <f>IF(D46&lt;=0,0,IF(D46&lt;CAIE!C16,CAIE!D16,""))</f>
        <v>0</v>
      </c>
      <c r="E50" s="127">
        <f>IF(C50=CAIE!C20,CAIE!E20,IF(C50=CAIE!C19,CAIE!E19,IF(C50=CAIE!C18,CAIE!E18,IF(C50=CAIE!C17,CAIE!E17,IF(C50=CAIE!C16,CAIE!E16,IF(C50&lt;CAIE!C16,+C50*D50))))))</f>
        <v>0</v>
      </c>
      <c r="H50" s="124"/>
    </row>
    <row r="51" spans="2:8" ht="13.5" customHeight="1">
      <c r="B51" s="1" t="s">
        <v>181</v>
      </c>
      <c r="C51" s="128">
        <f>+D46-C50</f>
        <v>0</v>
      </c>
      <c r="D51" s="19">
        <f>IF(C50=CAIE!C20,CAIE!D21,IF(C50=CAIE!C19,CAIE!D20,IF(C50=CAIE!C18,CAIE!D19,IF(C50=CAIE!C17,CAIE!D18,IF(C50=CAIE!C16,CAIE!D17,0)))))</f>
        <v>0</v>
      </c>
      <c r="E51" s="127">
        <f>+C51*D51</f>
        <v>0</v>
      </c>
      <c r="H51" s="124"/>
    </row>
    <row r="52" spans="5:8" ht="13.5" customHeight="1">
      <c r="E52" s="86"/>
      <c r="H52" s="129"/>
    </row>
    <row r="53" spans="2:9" ht="13.5" customHeight="1">
      <c r="B53" s="265" t="s">
        <v>182</v>
      </c>
      <c r="C53" s="265"/>
      <c r="D53" s="265"/>
      <c r="E53" s="130">
        <f>+E51+E50</f>
        <v>0</v>
      </c>
      <c r="H53" s="131"/>
      <c r="I53" s="131"/>
    </row>
    <row r="54" ht="13.5" customHeight="1"/>
    <row r="55" spans="2:7" ht="13.5" customHeight="1">
      <c r="B55" s="266" t="s">
        <v>183</v>
      </c>
      <c r="C55" s="266"/>
      <c r="D55" s="266"/>
      <c r="E55" s="266"/>
      <c r="G55" s="1" t="s">
        <v>184</v>
      </c>
    </row>
    <row r="56" spans="2:5" ht="7.5" customHeight="1">
      <c r="B56" s="126"/>
      <c r="C56" s="126"/>
      <c r="D56" s="126"/>
      <c r="E56" s="126"/>
    </row>
    <row r="57" spans="5:7" ht="13.5" customHeight="1">
      <c r="E57" s="75"/>
      <c r="G57" s="132"/>
    </row>
    <row r="58" spans="2:7" ht="13.5" customHeight="1">
      <c r="B58" s="1">
        <f>IF($D$30=1,+"Proyecto (60 % de I)","")</f>
      </c>
      <c r="E58" s="75">
        <f>IF($D$30=1,+E53*0.6,0)</f>
        <v>0</v>
      </c>
      <c r="G58" s="133"/>
    </row>
    <row r="59" spans="2:7" ht="13.5" customHeight="1">
      <c r="B59" s="1">
        <f>IF($D$31=1,+"Dirección Técnica (40 % de I)","")</f>
      </c>
      <c r="E59" s="75">
        <f>IF($D$31=1,+E53*0.4,0)</f>
        <v>0</v>
      </c>
      <c r="G59" s="133"/>
    </row>
    <row r="60" spans="5:7" ht="13.5" customHeight="1">
      <c r="E60" s="134"/>
      <c r="G60" s="133"/>
    </row>
    <row r="61" spans="2:7" ht="13.5" customHeight="1">
      <c r="B61" s="1">
        <f>IF($D$32=1,+"Dirección Ejecutiva (200 % de D.T.)","")</f>
      </c>
      <c r="E61" s="134">
        <f>IF($D$32=1,+E53*0.4*2,0)</f>
        <v>0</v>
      </c>
      <c r="G61" s="133"/>
    </row>
    <row r="62" spans="5:7" ht="19.5" customHeight="1">
      <c r="E62" s="124"/>
      <c r="G62" s="133"/>
    </row>
    <row r="63" spans="2:7" ht="18" customHeight="1">
      <c r="B63" s="267" t="s">
        <v>185</v>
      </c>
      <c r="C63" s="267"/>
      <c r="D63" s="267"/>
      <c r="E63" s="234">
        <f>IF(SUM(E57:E61)&gt;0,IF(SUM(E57:E61)&lt;x!C6,x!C6,IF(SUM(E57:E61)&gt;x!C6,SUM(E57:E61))),0)</f>
        <v>0</v>
      </c>
      <c r="G63" s="133"/>
    </row>
    <row r="64" ht="14.25" customHeight="1">
      <c r="G64" s="133"/>
    </row>
    <row r="65" spans="2:10" ht="19.5" customHeight="1">
      <c r="B65" s="267" t="s">
        <v>186</v>
      </c>
      <c r="C65" s="267"/>
      <c r="D65" s="267"/>
      <c r="E65" s="233"/>
      <c r="G65" s="135"/>
      <c r="J65" s="136" t="s">
        <v>187</v>
      </c>
    </row>
    <row r="66" spans="2:5" ht="18" customHeight="1">
      <c r="B66" s="268" t="s">
        <v>188</v>
      </c>
      <c r="C66" s="268"/>
      <c r="D66" s="268"/>
      <c r="E66" s="268"/>
    </row>
    <row r="67" spans="2:5" ht="14.25" customHeight="1">
      <c r="B67" s="268"/>
      <c r="C67" s="268"/>
      <c r="D67" s="268"/>
      <c r="E67" s="268"/>
    </row>
    <row r="68" spans="4:5" ht="13.5" customHeight="1">
      <c r="D68" s="1"/>
      <c r="E68" s="95"/>
    </row>
    <row r="69" ht="13.5" customHeight="1">
      <c r="D69" s="1"/>
    </row>
    <row r="70" spans="2:5" ht="13.5" customHeight="1">
      <c r="B70" s="151">
        <f>IF(E65&lt;E63,J65,"")</f>
      </c>
      <c r="C70" s="151"/>
      <c r="D70" s="151"/>
      <c r="E70" s="151"/>
    </row>
    <row r="71" spans="2:7" ht="13.5" customHeight="1">
      <c r="B71" s="151"/>
      <c r="C71" s="151"/>
      <c r="D71" s="151"/>
      <c r="E71" s="151"/>
      <c r="F71" s="262"/>
      <c r="G71" s="262"/>
    </row>
    <row r="72" spans="4:7" ht="13.5" customHeight="1">
      <c r="D72" s="1"/>
      <c r="F72" s="262"/>
      <c r="G72" s="262"/>
    </row>
    <row r="73" spans="4:7" ht="13.5" customHeight="1">
      <c r="D73" s="1"/>
      <c r="F73" s="262"/>
      <c r="G73" s="262"/>
    </row>
    <row r="74" spans="4:7" ht="13.5" customHeight="1">
      <c r="D74" s="1"/>
      <c r="F74" s="262"/>
      <c r="G74" s="262"/>
    </row>
    <row r="75" spans="4:7" ht="13.5" customHeight="1">
      <c r="D75" s="1"/>
      <c r="F75" s="262"/>
      <c r="G75" s="262"/>
    </row>
    <row r="76" spans="4:7" ht="13.5" customHeight="1">
      <c r="D76" s="1"/>
      <c r="F76" s="262"/>
      <c r="G76" s="262"/>
    </row>
    <row r="77" spans="4:7" ht="13.5" customHeight="1">
      <c r="D77" s="1"/>
      <c r="F77" s="78"/>
      <c r="G77" s="78"/>
    </row>
    <row r="78" spans="4:7" ht="13.5" customHeight="1">
      <c r="D78" s="1"/>
      <c r="F78" s="263" t="s">
        <v>189</v>
      </c>
      <c r="G78" s="263"/>
    </row>
    <row r="79" ht="13.5" customHeight="1">
      <c r="D79" s="1"/>
    </row>
    <row r="80" spans="4:5" ht="13.5" customHeight="1">
      <c r="D80" s="81"/>
      <c r="E80" s="81"/>
    </row>
    <row r="81" spans="2:7" ht="13.5" customHeight="1">
      <c r="B81" s="76"/>
      <c r="C81" s="76"/>
      <c r="D81" s="76"/>
      <c r="E81" s="76"/>
      <c r="F81" s="76"/>
      <c r="G81" s="76"/>
    </row>
    <row r="82" ht="13.5" customHeight="1"/>
    <row r="83" ht="13.5" customHeight="1">
      <c r="D83" s="1"/>
    </row>
    <row r="84" spans="2:4" ht="13.5" customHeight="1">
      <c r="B84" s="137" t="s">
        <v>190</v>
      </c>
      <c r="C84" s="137"/>
      <c r="D84" s="137"/>
    </row>
    <row r="85" spans="2:4" ht="13.5" customHeight="1">
      <c r="B85" s="138" t="s">
        <v>191</v>
      </c>
      <c r="C85" s="137"/>
      <c r="D85" s="137"/>
    </row>
    <row r="86" spans="2:4" ht="13.5" customHeight="1">
      <c r="B86" s="137"/>
      <c r="C86" s="137" t="s">
        <v>192</v>
      </c>
      <c r="D86" s="1"/>
    </row>
    <row r="87" spans="2:4" ht="13.5" customHeight="1">
      <c r="B87" s="138" t="s">
        <v>193</v>
      </c>
      <c r="C87" s="137"/>
      <c r="D87" s="137"/>
    </row>
    <row r="88" spans="2:4" ht="13.5" customHeight="1">
      <c r="B88" s="137"/>
      <c r="C88" s="137" t="s">
        <v>194</v>
      </c>
      <c r="D88" s="1"/>
    </row>
    <row r="89" spans="2:4" ht="13.5" customHeight="1">
      <c r="B89" s="138" t="s">
        <v>195</v>
      </c>
      <c r="C89" s="137" t="s">
        <v>196</v>
      </c>
      <c r="D89" s="1"/>
    </row>
    <row r="90" spans="2:4" ht="13.5" customHeight="1">
      <c r="B90" s="138" t="s">
        <v>197</v>
      </c>
      <c r="C90" s="137" t="s">
        <v>198</v>
      </c>
      <c r="D90" s="1"/>
    </row>
    <row r="91" ht="13.5" customHeight="1">
      <c r="D91" s="1"/>
    </row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</sheetData>
  <sheetProtection password="CA22" sheet="1" objects="1" scenarios="1" selectLockedCells="1"/>
  <mergeCells count="28">
    <mergeCell ref="B10:G10"/>
    <mergeCell ref="B14:C14"/>
    <mergeCell ref="D14:E14"/>
    <mergeCell ref="F2:G2"/>
    <mergeCell ref="F4:G4"/>
    <mergeCell ref="B6:G6"/>
    <mergeCell ref="B8:G8"/>
    <mergeCell ref="B46:C46"/>
    <mergeCell ref="D46:E46"/>
    <mergeCell ref="B24:G24"/>
    <mergeCell ref="B26:C26"/>
    <mergeCell ref="B28:C28"/>
    <mergeCell ref="B30:C30"/>
    <mergeCell ref="B31:C31"/>
    <mergeCell ref="B32:C32"/>
    <mergeCell ref="B34:C34"/>
    <mergeCell ref="B36:C36"/>
    <mergeCell ref="B38:E38"/>
    <mergeCell ref="D44:F44"/>
    <mergeCell ref="B70:E71"/>
    <mergeCell ref="F71:G76"/>
    <mergeCell ref="F78:G78"/>
    <mergeCell ref="B48:E48"/>
    <mergeCell ref="B53:D53"/>
    <mergeCell ref="B55:E55"/>
    <mergeCell ref="B63:D63"/>
    <mergeCell ref="B65:D65"/>
    <mergeCell ref="B66:E67"/>
  </mergeCells>
  <conditionalFormatting sqref="E65">
    <cfRule type="cellIs" priority="1" dxfId="10" operator="lessThan" stopIfTrue="1">
      <formula>$E$63</formula>
    </cfRule>
    <cfRule type="cellIs" priority="2" dxfId="11" operator="notEqual" stopIfTrue="1">
      <formula>0</formula>
    </cfRule>
  </conditionalFormatting>
  <conditionalFormatting sqref="F40:F42 D36 D40:D42 D26 D30:D32">
    <cfRule type="cellIs" priority="3" dxfId="11" operator="greaterThan" stopIfTrue="1">
      <formula>0</formula>
    </cfRule>
  </conditionalFormatting>
  <conditionalFormatting sqref="E27">
    <cfRule type="cellIs" priority="4" dxfId="12" operator="equal" stopIfTrue="1">
      <formula>"USAR PyD.2"</formula>
    </cfRule>
  </conditionalFormatting>
  <conditionalFormatting sqref="E26">
    <cfRule type="cellIs" priority="5" dxfId="13" operator="equal" stopIfTrue="1">
      <formula>"Usar PyD.1"</formula>
    </cfRule>
  </conditionalFormatting>
  <conditionalFormatting sqref="C2 F4 C4">
    <cfRule type="cellIs" priority="6" dxfId="14" operator="greaterThan" stopIfTrue="1">
      <formula>0</formula>
    </cfRule>
  </conditionalFormatting>
  <conditionalFormatting sqref="F2:G2">
    <cfRule type="cellIs" priority="7" dxfId="14" operator="greaterThan" stopIfTrue="1">
      <formula>0</formula>
    </cfRule>
    <cfRule type="cellIs" priority="8" dxfId="15" operator="equal" stopIfTrue="1">
      <formula>0</formula>
    </cfRule>
  </conditionalFormatting>
  <conditionalFormatting sqref="B70:E71">
    <cfRule type="cellIs" priority="9" dxfId="10" operator="equal" stopIfTrue="1">
      <formula>$J$65</formula>
    </cfRule>
  </conditionalFormatting>
  <dataValidations count="2">
    <dataValidation type="list" allowBlank="1" showErrorMessage="1" sqref="D26">
      <formula1>$N$26:$N$29</formula1>
      <formula2>0</formula2>
    </dataValidation>
    <dataValidation type="list" showErrorMessage="1" sqref="D30:D32">
      <formula1>"1"</formula1>
      <formula2>0</formula2>
    </dataValidation>
  </dataValidations>
  <printOptions/>
  <pageMargins left="1.1811023622047245" right="0.7480314960629921" top="1.7716535433070868" bottom="0.5511811023622047" header="0.4724409448818898" footer="0.35433070866141736"/>
  <pageSetup fitToHeight="1" fitToWidth="1" horizontalDpi="300" verticalDpi="300" orientation="portrait" paperSize="9" scale="63" r:id="rId2"/>
  <headerFooter alignWithMargins="0">
    <oddHeader>&amp;L&amp;G&amp;C&amp;"Arial,Negrita"&amp;16PLANILLA ANEXA</oddHeader>
    <oddFooter>&amp;C&amp;"Arial,Negrita"Vigencia desde el 01/04/2024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E21"/>
  <sheetViews>
    <sheetView zoomScalePageLayoutView="0" workbookViewId="0" topLeftCell="A1">
      <selection activeCell="H16" sqref="H16"/>
    </sheetView>
  </sheetViews>
  <sheetFormatPr defaultColWidth="11.00390625" defaultRowHeight="12.75"/>
  <sheetData>
    <row r="4" spans="2:5" ht="12.75" customHeight="1">
      <c r="B4" s="283" t="s">
        <v>199</v>
      </c>
      <c r="C4" s="283"/>
      <c r="D4" s="284">
        <f>IF(CAIE!E65&lt;=156000,3900,((CAIE!E65)*2.5%))</f>
        <v>3900</v>
      </c>
      <c r="E4" s="284"/>
    </row>
    <row r="5" spans="2:5" ht="12.75" customHeight="1">
      <c r="B5" s="283"/>
      <c r="C5" s="283"/>
      <c r="D5" s="284"/>
      <c r="E5" s="284"/>
    </row>
    <row r="6" spans="2:5" ht="12.75">
      <c r="B6" s="283"/>
      <c r="C6" s="283"/>
      <c r="D6" s="284"/>
      <c r="E6" s="284"/>
    </row>
    <row r="7" spans="2:5" ht="12.75">
      <c r="B7" s="283"/>
      <c r="C7" s="283"/>
      <c r="D7" s="284"/>
      <c r="E7" s="284"/>
    </row>
    <row r="10" spans="3:5" ht="15">
      <c r="C10" s="139"/>
      <c r="D10" s="140"/>
      <c r="E10" s="140"/>
    </row>
    <row r="11" spans="2:5" ht="15.75" customHeight="1">
      <c r="B11" s="285" t="s">
        <v>200</v>
      </c>
      <c r="C11" s="285"/>
      <c r="D11" s="286">
        <v>0.012</v>
      </c>
      <c r="E11" s="286"/>
    </row>
    <row r="12" spans="2:5" ht="12.75">
      <c r="B12" s="285"/>
      <c r="C12" s="285"/>
      <c r="D12" s="287">
        <f>CAIE!E65*1.2%</f>
        <v>0</v>
      </c>
      <c r="E12" s="287"/>
    </row>
    <row r="13" spans="2:5" ht="12.75">
      <c r="B13" s="285"/>
      <c r="C13" s="285"/>
      <c r="D13" s="287"/>
      <c r="E13" s="287"/>
    </row>
    <row r="14" spans="2:5" ht="12.75">
      <c r="B14" s="285"/>
      <c r="C14" s="285"/>
      <c r="D14" s="287"/>
      <c r="E14" s="287"/>
    </row>
    <row r="15" spans="2:5" ht="12.75">
      <c r="B15" s="285"/>
      <c r="C15" s="285"/>
      <c r="D15" s="287"/>
      <c r="E15" s="287"/>
    </row>
    <row r="18" spans="2:5" ht="12.75" customHeight="1">
      <c r="B18" s="283" t="s">
        <v>201</v>
      </c>
      <c r="C18" s="283"/>
      <c r="D18" s="284">
        <f>CAIE!E65*0.1</f>
        <v>0</v>
      </c>
      <c r="E18" s="284"/>
    </row>
    <row r="19" spans="2:5" ht="12.75" customHeight="1">
      <c r="B19" s="283"/>
      <c r="C19" s="283"/>
      <c r="D19" s="284"/>
      <c r="E19" s="284"/>
    </row>
    <row r="20" spans="2:5" ht="12.75">
      <c r="B20" s="283"/>
      <c r="C20" s="283"/>
      <c r="D20" s="284"/>
      <c r="E20" s="284"/>
    </row>
    <row r="21" spans="2:5" ht="12.75">
      <c r="B21" s="283"/>
      <c r="C21" s="283"/>
      <c r="D21" s="284"/>
      <c r="E21" s="284"/>
    </row>
  </sheetData>
  <sheetProtection password="CA22" sheet="1" objects="1" scenarios="1" selectLockedCells="1" selectUnlockedCells="1"/>
  <mergeCells count="7">
    <mergeCell ref="B18:C21"/>
    <mergeCell ref="D18:E21"/>
    <mergeCell ref="B4:C7"/>
    <mergeCell ref="D4:E7"/>
    <mergeCell ref="B11:C15"/>
    <mergeCell ref="D11:E11"/>
    <mergeCell ref="D12:E15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usuario</cp:lastModifiedBy>
  <cp:lastPrinted>2024-03-22T17:55:33Z</cp:lastPrinted>
  <dcterms:created xsi:type="dcterms:W3CDTF">2024-03-22T17:53:54Z</dcterms:created>
  <dcterms:modified xsi:type="dcterms:W3CDTF">2024-03-22T17:55:35Z</dcterms:modified>
  <cp:category/>
  <cp:version/>
  <cp:contentType/>
  <cp:contentStatus/>
</cp:coreProperties>
</file>